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Ash docs\chatanooga\webinar\"/>
    </mc:Choice>
  </mc:AlternateContent>
  <xr:revisionPtr revIDLastSave="0" documentId="14_{E5E8F1D1-387B-4036-BFEF-847AFF738F84}" xr6:coauthVersionLast="47" xr6:coauthVersionMax="47" xr10:uidLastSave="{00000000-0000-0000-0000-000000000000}"/>
  <bookViews>
    <workbookView xWindow="5055" yWindow="2745" windowWidth="21600" windowHeight="11295" activeTab="3" xr2:uid="{00000000-000D-0000-FFFF-FFFF00000000}"/>
  </bookViews>
  <sheets>
    <sheet name="Recent Leases signed" sheetId="1" r:id="rId1"/>
    <sheet name="Vacant Units" sheetId="2" r:id="rId2"/>
    <sheet name="Rent Roll 11-23" sheetId="3" r:id="rId3"/>
    <sheet name="Proforma" sheetId="4" r:id="rId4"/>
    <sheet name="Copy of Proforma" sheetId="5" r:id="rId5"/>
    <sheet name="Expenses" sheetId="6" r:id="rId6"/>
    <sheet name="Charge Backs" sheetId="7" r:id="rId7"/>
    <sheet name="Sheet1" sheetId="8" r:id="rId8"/>
    <sheet name="Cashflow Plan" sheetId="9" r:id="rId9"/>
    <sheet name="Cashflow Very Conservative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Lu0uHexzkq7GhpDOzgDgtonbd7bo8jd1TKh78cgLmRU="/>
    </ext>
  </extLst>
</workbook>
</file>

<file path=xl/calcChain.xml><?xml version="1.0" encoding="utf-8"?>
<calcChain xmlns="http://schemas.openxmlformats.org/spreadsheetml/2006/main">
  <c r="E42" i="10" l="1"/>
  <c r="D42" i="10"/>
  <c r="C42" i="10"/>
  <c r="B38" i="10"/>
  <c r="G42" i="10" s="1"/>
  <c r="B44" i="10" s="1"/>
  <c r="B36" i="10"/>
  <c r="B37" i="10" s="1"/>
  <c r="AO23" i="10"/>
  <c r="AL23" i="10"/>
  <c r="AI23" i="10"/>
  <c r="AA23" i="10"/>
  <c r="U23" i="10"/>
  <c r="R23" i="10"/>
  <c r="M23" i="10"/>
  <c r="J23" i="10"/>
  <c r="D23" i="10"/>
  <c r="A22" i="10"/>
  <c r="X23" i="10" s="1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R11" i="10"/>
  <c r="S11" i="10" s="1"/>
  <c r="T11" i="10" s="1"/>
  <c r="U11" i="10" s="1"/>
  <c r="V11" i="10" s="1"/>
  <c r="W11" i="10" s="1"/>
  <c r="X11" i="10" s="1"/>
  <c r="Y11" i="10" s="1"/>
  <c r="Z11" i="10" s="1"/>
  <c r="AA11" i="10" s="1"/>
  <c r="Q11" i="10"/>
  <c r="M11" i="10"/>
  <c r="C10" i="10"/>
  <c r="C17" i="10" s="1"/>
  <c r="B10" i="10"/>
  <c r="B17" i="10" s="1"/>
  <c r="P9" i="10"/>
  <c r="B9" i="10"/>
  <c r="Y8" i="10"/>
  <c r="M5" i="10"/>
  <c r="L5" i="10"/>
  <c r="K5" i="10"/>
  <c r="J5" i="10"/>
  <c r="I5" i="10"/>
  <c r="H5" i="10"/>
  <c r="G5" i="10"/>
  <c r="F5" i="10"/>
  <c r="E5" i="10"/>
  <c r="D5" i="10"/>
  <c r="C5" i="10"/>
  <c r="B5" i="10"/>
  <c r="B6" i="10" s="1"/>
  <c r="D4" i="10"/>
  <c r="D10" i="10" s="1"/>
  <c r="D17" i="10" s="1"/>
  <c r="C4" i="10"/>
  <c r="C6" i="10" s="1"/>
  <c r="C18" i="10" s="1"/>
  <c r="E42" i="9"/>
  <c r="D42" i="9"/>
  <c r="C42" i="9"/>
  <c r="B36" i="9"/>
  <c r="B38" i="9" s="1"/>
  <c r="F42" i="9" s="1"/>
  <c r="B44" i="9" s="1"/>
  <c r="AO23" i="9"/>
  <c r="AI23" i="9"/>
  <c r="AA23" i="9"/>
  <c r="X23" i="9"/>
  <c r="U23" i="9"/>
  <c r="A22" i="9"/>
  <c r="AF23" i="9" s="1"/>
  <c r="AO14" i="9"/>
  <c r="AN14" i="9"/>
  <c r="AM14" i="9"/>
  <c r="AL14" i="9"/>
  <c r="AK14" i="9"/>
  <c r="AJ14" i="9"/>
  <c r="AI14" i="9"/>
  <c r="AH14" i="9"/>
  <c r="AG14" i="9"/>
  <c r="AF14" i="9"/>
  <c r="AE14" i="9"/>
  <c r="AD14" i="9"/>
  <c r="AA14" i="9"/>
  <c r="Z14" i="9"/>
  <c r="Y14" i="9"/>
  <c r="X14" i="9"/>
  <c r="W14" i="9"/>
  <c r="V14" i="9"/>
  <c r="U14" i="9"/>
  <c r="T14" i="9"/>
  <c r="S14" i="9"/>
  <c r="R14" i="9"/>
  <c r="Q14" i="9"/>
  <c r="P14" i="9"/>
  <c r="M14" i="9"/>
  <c r="L14" i="9"/>
  <c r="K14" i="9"/>
  <c r="J14" i="9"/>
  <c r="I14" i="9"/>
  <c r="H14" i="9"/>
  <c r="G14" i="9"/>
  <c r="F14" i="9"/>
  <c r="E14" i="9"/>
  <c r="D14" i="9"/>
  <c r="C14" i="9"/>
  <c r="B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A13" i="9"/>
  <c r="Z13" i="9"/>
  <c r="Y13" i="9"/>
  <c r="X13" i="9"/>
  <c r="W13" i="9"/>
  <c r="V13" i="9"/>
  <c r="U13" i="9"/>
  <c r="T13" i="9"/>
  <c r="S13" i="9"/>
  <c r="R13" i="9"/>
  <c r="Q13" i="9"/>
  <c r="P13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A11" i="9"/>
  <c r="Z11" i="9"/>
  <c r="Y11" i="9"/>
  <c r="X11" i="9"/>
  <c r="W11" i="9"/>
  <c r="V11" i="9"/>
  <c r="U11" i="9"/>
  <c r="T11" i="9"/>
  <c r="S11" i="9"/>
  <c r="R11" i="9"/>
  <c r="Q11" i="9"/>
  <c r="P11" i="9"/>
  <c r="M11" i="9"/>
  <c r="L11" i="9"/>
  <c r="K11" i="9"/>
  <c r="J11" i="9"/>
  <c r="I11" i="9"/>
  <c r="H11" i="9"/>
  <c r="G11" i="9"/>
  <c r="F11" i="9"/>
  <c r="E11" i="9"/>
  <c r="D11" i="9"/>
  <c r="C11" i="9"/>
  <c r="B11" i="9"/>
  <c r="D10" i="9"/>
  <c r="D17" i="9" s="1"/>
  <c r="B10" i="9"/>
  <c r="P9" i="9"/>
  <c r="S9" i="9" s="1"/>
  <c r="B9" i="9"/>
  <c r="B17" i="9" s="1"/>
  <c r="Y8" i="9"/>
  <c r="B6" i="9"/>
  <c r="B18" i="9" s="1"/>
  <c r="M5" i="9"/>
  <c r="L5" i="9"/>
  <c r="K5" i="9"/>
  <c r="J5" i="9"/>
  <c r="I5" i="9"/>
  <c r="H5" i="9"/>
  <c r="G5" i="9"/>
  <c r="F5" i="9"/>
  <c r="E5" i="9"/>
  <c r="D5" i="9"/>
  <c r="C5" i="9"/>
  <c r="B5" i="9"/>
  <c r="D4" i="9"/>
  <c r="E4" i="9" s="1"/>
  <c r="C4" i="9"/>
  <c r="C10" i="9" s="1"/>
  <c r="C17" i="9" s="1"/>
  <c r="H40" i="8"/>
  <c r="H30" i="8"/>
  <c r="H29" i="8"/>
  <c r="H28" i="8"/>
  <c r="H26" i="8"/>
  <c r="H24" i="8"/>
  <c r="H17" i="8"/>
  <c r="H15" i="8"/>
  <c r="H12" i="8"/>
  <c r="H7" i="8"/>
  <c r="H4" i="8"/>
  <c r="H36" i="8" s="1"/>
  <c r="H37" i="8" s="1"/>
  <c r="J38" i="7"/>
  <c r="H35" i="7"/>
  <c r="K30" i="7"/>
  <c r="J30" i="7"/>
  <c r="I30" i="7"/>
  <c r="K28" i="7"/>
  <c r="J28" i="7"/>
  <c r="I28" i="7"/>
  <c r="K26" i="7"/>
  <c r="J26" i="7"/>
  <c r="I26" i="7"/>
  <c r="K21" i="7"/>
  <c r="J21" i="7"/>
  <c r="I21" i="7"/>
  <c r="K19" i="7"/>
  <c r="J19" i="7"/>
  <c r="I19" i="7"/>
  <c r="G19" i="7"/>
  <c r="K18" i="7"/>
  <c r="J18" i="7"/>
  <c r="I18" i="7"/>
  <c r="G18" i="7"/>
  <c r="H16" i="7"/>
  <c r="G16" i="7"/>
  <c r="K14" i="7"/>
  <c r="J14" i="7"/>
  <c r="I14" i="7"/>
  <c r="J13" i="7"/>
  <c r="I13" i="7"/>
  <c r="H13" i="7"/>
  <c r="H38" i="7" s="1"/>
  <c r="G13" i="7"/>
  <c r="K11" i="7"/>
  <c r="K38" i="7" s="1"/>
  <c r="J11" i="7"/>
  <c r="I11" i="7"/>
  <c r="I38" i="7" s="1"/>
  <c r="H7" i="7"/>
  <c r="G7" i="7"/>
  <c r="H6" i="7"/>
  <c r="G6" i="7"/>
  <c r="H4" i="7"/>
  <c r="G4" i="7"/>
  <c r="H3" i="7"/>
  <c r="G3" i="7"/>
  <c r="G38" i="7" s="1"/>
  <c r="G40" i="7" s="1"/>
  <c r="B11" i="6"/>
  <c r="B6" i="6"/>
  <c r="H50" i="5"/>
  <c r="E50" i="5" s="1"/>
  <c r="B50" i="5" s="1"/>
  <c r="B57" i="5" s="1"/>
  <c r="B49" i="5"/>
  <c r="H47" i="5"/>
  <c r="E47" i="5"/>
  <c r="B47" i="5"/>
  <c r="H42" i="5"/>
  <c r="E40" i="5"/>
  <c r="B36" i="5"/>
  <c r="B61" i="5" s="1"/>
  <c r="H20" i="5"/>
  <c r="H36" i="5" s="1"/>
  <c r="H17" i="5"/>
  <c r="E17" i="5"/>
  <c r="B17" i="5"/>
  <c r="E11" i="5"/>
  <c r="E15" i="5" s="1"/>
  <c r="E14" i="5" s="1"/>
  <c r="H10" i="5"/>
  <c r="H11" i="5" s="1"/>
  <c r="H15" i="5" s="1"/>
  <c r="H14" i="5" s="1"/>
  <c r="E10" i="5"/>
  <c r="B10" i="5"/>
  <c r="B11" i="5" s="1"/>
  <c r="B15" i="5" s="1"/>
  <c r="B14" i="5" s="1"/>
  <c r="H50" i="4"/>
  <c r="E50" i="4" s="1"/>
  <c r="B50" i="4" s="1"/>
  <c r="H49" i="4"/>
  <c r="B49" i="4"/>
  <c r="H47" i="4"/>
  <c r="E47" i="4"/>
  <c r="B47" i="4"/>
  <c r="H42" i="4"/>
  <c r="H40" i="4"/>
  <c r="H57" i="4" s="1"/>
  <c r="E40" i="4"/>
  <c r="H36" i="4"/>
  <c r="B36" i="4"/>
  <c r="H20" i="4"/>
  <c r="H17" i="4"/>
  <c r="E17" i="4"/>
  <c r="B17" i="4"/>
  <c r="E15" i="4"/>
  <c r="E14" i="4" s="1"/>
  <c r="E11" i="4"/>
  <c r="B11" i="4"/>
  <c r="B15" i="4" s="1"/>
  <c r="B14" i="4" s="1"/>
  <c r="H10" i="4"/>
  <c r="H11" i="4" s="1"/>
  <c r="H15" i="4" s="1"/>
  <c r="H14" i="4" s="1"/>
  <c r="E10" i="4"/>
  <c r="B10" i="4"/>
  <c r="H36" i="3"/>
  <c r="H33" i="3"/>
  <c r="G29" i="3"/>
  <c r="G38" i="3" s="1"/>
  <c r="F29" i="3"/>
  <c r="E24" i="3"/>
  <c r="H8" i="3"/>
  <c r="H38" i="3" s="1"/>
  <c r="D8" i="3"/>
  <c r="G12" i="2"/>
  <c r="G11" i="2"/>
  <c r="E11" i="2"/>
  <c r="E12" i="2" s="1"/>
  <c r="G10" i="2"/>
  <c r="G9" i="2"/>
  <c r="G8" i="2"/>
  <c r="G7" i="2"/>
  <c r="G6" i="2"/>
  <c r="G5" i="2"/>
  <c r="G4" i="2"/>
  <c r="G3" i="2"/>
  <c r="G2" i="2"/>
  <c r="G17" i="1"/>
  <c r="E17" i="1"/>
  <c r="G16" i="1"/>
  <c r="G18" i="1" s="1"/>
  <c r="E16" i="1"/>
  <c r="G15" i="1"/>
  <c r="E15" i="1"/>
  <c r="E11" i="1"/>
  <c r="F10" i="1"/>
  <c r="E10" i="1"/>
  <c r="E13" i="1" s="1"/>
  <c r="F9" i="1"/>
  <c r="F8" i="1"/>
  <c r="F7" i="1"/>
  <c r="K6" i="1"/>
  <c r="F6" i="1"/>
  <c r="F5" i="1"/>
  <c r="F4" i="1"/>
  <c r="F3" i="1"/>
  <c r="H61" i="4" l="1"/>
  <c r="E20" i="5"/>
  <c r="E20" i="4"/>
  <c r="B1" i="6"/>
  <c r="B14" i="6" s="1"/>
  <c r="V9" i="9"/>
  <c r="B57" i="4"/>
  <c r="B61" i="4" s="1"/>
  <c r="J40" i="7"/>
  <c r="B69" i="5"/>
  <c r="B74" i="5"/>
  <c r="B71" i="5"/>
  <c r="B68" i="5"/>
  <c r="B73" i="5"/>
  <c r="B72" i="5"/>
  <c r="B62" i="5"/>
  <c r="B63" i="5"/>
  <c r="B64" i="5" s="1"/>
  <c r="B70" i="5"/>
  <c r="F4" i="9"/>
  <c r="E6" i="9"/>
  <c r="E10" i="9"/>
  <c r="E17" i="9" s="1"/>
  <c r="B18" i="10"/>
  <c r="B19" i="10"/>
  <c r="H40" i="5"/>
  <c r="H57" i="5" s="1"/>
  <c r="H61" i="5" s="1"/>
  <c r="C6" i="9"/>
  <c r="C18" i="9" s="1"/>
  <c r="AL23" i="9"/>
  <c r="E4" i="10"/>
  <c r="AF23" i="10"/>
  <c r="D6" i="9"/>
  <c r="D18" i="9" s="1"/>
  <c r="B19" i="9"/>
  <c r="S9" i="10"/>
  <c r="D23" i="9"/>
  <c r="D6" i="10"/>
  <c r="D18" i="10" s="1"/>
  <c r="H49" i="5"/>
  <c r="G23" i="9"/>
  <c r="B37" i="9"/>
  <c r="J23" i="9"/>
  <c r="M23" i="9"/>
  <c r="G23" i="10"/>
  <c r="R23" i="9"/>
  <c r="H74" i="5" l="1"/>
  <c r="H68" i="5"/>
  <c r="H73" i="5"/>
  <c r="H62" i="5"/>
  <c r="H69" i="5"/>
  <c r="H72" i="5"/>
  <c r="H63" i="5"/>
  <c r="H64" i="5" s="1"/>
  <c r="H71" i="5"/>
  <c r="H70" i="5"/>
  <c r="B25" i="10"/>
  <c r="C19" i="10"/>
  <c r="B62" i="4"/>
  <c r="B70" i="4"/>
  <c r="B69" i="4"/>
  <c r="B74" i="4"/>
  <c r="B68" i="4"/>
  <c r="B71" i="4"/>
  <c r="B73" i="4"/>
  <c r="B72" i="4"/>
  <c r="B63" i="4"/>
  <c r="B64" i="4" s="1"/>
  <c r="E10" i="10"/>
  <c r="E17" i="10" s="1"/>
  <c r="F4" i="10"/>
  <c r="E6" i="10"/>
  <c r="E18" i="10" s="1"/>
  <c r="E18" i="9"/>
  <c r="F10" i="9"/>
  <c r="F17" i="9" s="1"/>
  <c r="G4" i="9"/>
  <c r="F6" i="9"/>
  <c r="Y9" i="9"/>
  <c r="E36" i="4"/>
  <c r="E49" i="4"/>
  <c r="E57" i="4" s="1"/>
  <c r="E36" i="5"/>
  <c r="E49" i="5"/>
  <c r="E57" i="5" s="1"/>
  <c r="B25" i="9"/>
  <c r="C19" i="9"/>
  <c r="V9" i="10"/>
  <c r="H70" i="4"/>
  <c r="H69" i="4"/>
  <c r="H74" i="4"/>
  <c r="H68" i="4"/>
  <c r="H73" i="4"/>
  <c r="H71" i="4"/>
  <c r="H72" i="4"/>
  <c r="H62" i="4"/>
  <c r="H63" i="4"/>
  <c r="H64" i="4" s="1"/>
  <c r="E61" i="5" l="1"/>
  <c r="E61" i="4"/>
  <c r="AD9" i="9"/>
  <c r="F18" i="9"/>
  <c r="F6" i="10"/>
  <c r="F10" i="10"/>
  <c r="F17" i="10" s="1"/>
  <c r="G4" i="10"/>
  <c r="H4" i="9"/>
  <c r="G6" i="9"/>
  <c r="G10" i="9"/>
  <c r="G17" i="9" s="1"/>
  <c r="Y9" i="10"/>
  <c r="C25" i="9"/>
  <c r="D19" i="9"/>
  <c r="C25" i="10"/>
  <c r="D19" i="10"/>
  <c r="AD9" i="10" l="1"/>
  <c r="D25" i="10"/>
  <c r="E19" i="10"/>
  <c r="D25" i="9"/>
  <c r="E19" i="9"/>
  <c r="I4" i="9"/>
  <c r="H6" i="9"/>
  <c r="H18" i="9" s="1"/>
  <c r="H10" i="9"/>
  <c r="H17" i="9" s="1"/>
  <c r="E69" i="5"/>
  <c r="E74" i="5"/>
  <c r="E68" i="5"/>
  <c r="E73" i="5"/>
  <c r="E72" i="5"/>
  <c r="E70" i="5"/>
  <c r="E63" i="5"/>
  <c r="E64" i="5" s="1"/>
  <c r="E71" i="5"/>
  <c r="E62" i="5"/>
  <c r="H4" i="10"/>
  <c r="G6" i="10"/>
  <c r="G10" i="10"/>
  <c r="G17" i="10" s="1"/>
  <c r="G18" i="9"/>
  <c r="F18" i="10"/>
  <c r="AG9" i="9"/>
  <c r="E62" i="4"/>
  <c r="E70" i="4"/>
  <c r="E69" i="4"/>
  <c r="E74" i="4"/>
  <c r="E73" i="4"/>
  <c r="E68" i="4"/>
  <c r="E63" i="4"/>
  <c r="E64" i="4" s="1"/>
  <c r="E72" i="4"/>
  <c r="E71" i="4"/>
  <c r="J4" i="9" l="1"/>
  <c r="I6" i="9"/>
  <c r="I18" i="9" s="1"/>
  <c r="I10" i="9"/>
  <c r="I17" i="9" s="1"/>
  <c r="E25" i="9"/>
  <c r="F19" i="9"/>
  <c r="E25" i="10"/>
  <c r="F19" i="10"/>
  <c r="G18" i="10"/>
  <c r="I4" i="10"/>
  <c r="H6" i="10"/>
  <c r="H10" i="10"/>
  <c r="H17" i="10" s="1"/>
  <c r="AJ9" i="9"/>
  <c r="AG9" i="10"/>
  <c r="AJ9" i="10" l="1"/>
  <c r="AM9" i="9"/>
  <c r="J4" i="10"/>
  <c r="I6" i="10"/>
  <c r="I10" i="10"/>
  <c r="I17" i="10" s="1"/>
  <c r="H18" i="10"/>
  <c r="F25" i="10"/>
  <c r="G19" i="10"/>
  <c r="F25" i="9"/>
  <c r="G19" i="9"/>
  <c r="K4" i="9"/>
  <c r="J6" i="9"/>
  <c r="J10" i="9"/>
  <c r="J17" i="9" s="1"/>
  <c r="L4" i="9" l="1"/>
  <c r="K6" i="9"/>
  <c r="K18" i="9" s="1"/>
  <c r="K10" i="9"/>
  <c r="K17" i="9" s="1"/>
  <c r="J18" i="9"/>
  <c r="I18" i="10"/>
  <c r="K4" i="10"/>
  <c r="J6" i="10"/>
  <c r="J10" i="10"/>
  <c r="J17" i="10" s="1"/>
  <c r="G25" i="9"/>
  <c r="H19" i="9"/>
  <c r="G25" i="10"/>
  <c r="H19" i="10"/>
  <c r="AM9" i="10"/>
  <c r="H25" i="10" l="1"/>
  <c r="I19" i="10"/>
  <c r="H25" i="9"/>
  <c r="I19" i="9"/>
  <c r="L4" i="10"/>
  <c r="K6" i="10"/>
  <c r="K18" i="10" s="1"/>
  <c r="K10" i="10"/>
  <c r="K17" i="10" s="1"/>
  <c r="J18" i="10"/>
  <c r="M4" i="9"/>
  <c r="L6" i="9"/>
  <c r="L10" i="9"/>
  <c r="L17" i="9" s="1"/>
  <c r="L18" i="9" l="1"/>
  <c r="M4" i="10"/>
  <c r="L6" i="10"/>
  <c r="L10" i="10"/>
  <c r="L17" i="10" s="1"/>
  <c r="P4" i="9"/>
  <c r="M6" i="9"/>
  <c r="M10" i="9"/>
  <c r="M17" i="9" s="1"/>
  <c r="I25" i="9"/>
  <c r="J19" i="9"/>
  <c r="I25" i="10"/>
  <c r="J19" i="10"/>
  <c r="J25" i="10" l="1"/>
  <c r="K19" i="10"/>
  <c r="M18" i="9"/>
  <c r="J25" i="9"/>
  <c r="K19" i="9"/>
  <c r="Q4" i="9"/>
  <c r="P6" i="9"/>
  <c r="P10" i="9"/>
  <c r="P17" i="9" s="1"/>
  <c r="P4" i="10"/>
  <c r="M6" i="10"/>
  <c r="M10" i="10"/>
  <c r="M17" i="10" s="1"/>
  <c r="L18" i="10"/>
  <c r="P18" i="9" l="1"/>
  <c r="M18" i="10"/>
  <c r="K25" i="10"/>
  <c r="L19" i="10"/>
  <c r="Q4" i="10"/>
  <c r="P6" i="10"/>
  <c r="P18" i="10" s="1"/>
  <c r="P10" i="10"/>
  <c r="P17" i="10" s="1"/>
  <c r="R4" i="9"/>
  <c r="Q6" i="9"/>
  <c r="Q10" i="9"/>
  <c r="Q17" i="9" s="1"/>
  <c r="K25" i="9"/>
  <c r="L19" i="9"/>
  <c r="L25" i="9" l="1"/>
  <c r="M19" i="9"/>
  <c r="Q18" i="9"/>
  <c r="S4" i="9"/>
  <c r="R6" i="9"/>
  <c r="R10" i="9"/>
  <c r="R17" i="9" s="1"/>
  <c r="R4" i="10"/>
  <c r="Q6" i="10"/>
  <c r="Q10" i="10"/>
  <c r="Q17" i="10" s="1"/>
  <c r="L25" i="10"/>
  <c r="M19" i="10"/>
  <c r="M25" i="10" l="1"/>
  <c r="P25" i="10" s="1"/>
  <c r="Q25" i="10" s="1"/>
  <c r="P19" i="10"/>
  <c r="Q19" i="10" s="1"/>
  <c r="S4" i="10"/>
  <c r="R6" i="10"/>
  <c r="R10" i="10"/>
  <c r="R17" i="10" s="1"/>
  <c r="M25" i="9"/>
  <c r="P25" i="9" s="1"/>
  <c r="Q25" i="9" s="1"/>
  <c r="R25" i="9" s="1"/>
  <c r="P19" i="9"/>
  <c r="Q19" i="9" s="1"/>
  <c r="R19" i="9" s="1"/>
  <c r="Q18" i="10"/>
  <c r="R18" i="9"/>
  <c r="S6" i="9"/>
  <c r="S10" i="9"/>
  <c r="S17" i="9" s="1"/>
  <c r="T4" i="9"/>
  <c r="T10" i="9" l="1"/>
  <c r="T17" i="9" s="1"/>
  <c r="T6" i="9"/>
  <c r="T18" i="9" s="1"/>
  <c r="U4" i="9"/>
  <c r="S25" i="9"/>
  <c r="T25" i="9" s="1"/>
  <c r="T4" i="10"/>
  <c r="S6" i="10"/>
  <c r="S10" i="10"/>
  <c r="S17" i="10" s="1"/>
  <c r="S19" i="9"/>
  <c r="T19" i="9" s="1"/>
  <c r="R19" i="10"/>
  <c r="S19" i="10" s="1"/>
  <c r="S18" i="9"/>
  <c r="R18" i="10"/>
  <c r="R25" i="10"/>
  <c r="S25" i="10" s="1"/>
  <c r="U4" i="10" l="1"/>
  <c r="T6" i="10"/>
  <c r="T10" i="10"/>
  <c r="T17" i="10" s="1"/>
  <c r="S18" i="10"/>
  <c r="T25" i="10"/>
  <c r="U10" i="9"/>
  <c r="U17" i="9" s="1"/>
  <c r="V4" i="9"/>
  <c r="U6" i="9"/>
  <c r="U18" i="9" s="1"/>
  <c r="U25" i="9" l="1"/>
  <c r="U6" i="10"/>
  <c r="U10" i="10"/>
  <c r="U17" i="10" s="1"/>
  <c r="V4" i="10"/>
  <c r="V6" i="9"/>
  <c r="V10" i="9"/>
  <c r="V17" i="9" s="1"/>
  <c r="W4" i="9"/>
  <c r="U25" i="10"/>
  <c r="T18" i="10"/>
  <c r="T19" i="10"/>
  <c r="U19" i="10" s="1"/>
  <c r="U19" i="9"/>
  <c r="V19" i="9" s="1"/>
  <c r="V18" i="9" l="1"/>
  <c r="X4" i="9"/>
  <c r="W6" i="9"/>
  <c r="W10" i="9"/>
  <c r="W17" i="9" s="1"/>
  <c r="U18" i="10"/>
  <c r="V10" i="10"/>
  <c r="V17" i="10" s="1"/>
  <c r="V6" i="10"/>
  <c r="V19" i="10" s="1"/>
  <c r="W4" i="10"/>
  <c r="V25" i="9"/>
  <c r="W25" i="9" s="1"/>
  <c r="W10" i="10" l="1"/>
  <c r="W17" i="10" s="1"/>
  <c r="X4" i="10"/>
  <c r="W6" i="10"/>
  <c r="V18" i="10"/>
  <c r="W18" i="9"/>
  <c r="X10" i="9"/>
  <c r="X17" i="9" s="1"/>
  <c r="Y4" i="9"/>
  <c r="X6" i="9"/>
  <c r="V25" i="10"/>
  <c r="W25" i="10" s="1"/>
  <c r="W19" i="9"/>
  <c r="X19" i="9" l="1"/>
  <c r="Z4" i="9"/>
  <c r="Y6" i="9"/>
  <c r="Y10" i="9"/>
  <c r="Y17" i="9" s="1"/>
  <c r="X18" i="9"/>
  <c r="X25" i="9"/>
  <c r="W18" i="10"/>
  <c r="X10" i="10"/>
  <c r="X17" i="10" s="1"/>
  <c r="Y4" i="10"/>
  <c r="X6" i="10"/>
  <c r="X18" i="10" s="1"/>
  <c r="W19" i="10"/>
  <c r="X19" i="10" s="1"/>
  <c r="Z4" i="10" l="1"/>
  <c r="Y6" i="10"/>
  <c r="Y10" i="10"/>
  <c r="Y17" i="10" s="1"/>
  <c r="Y25" i="9"/>
  <c r="Y18" i="9"/>
  <c r="AA4" i="9"/>
  <c r="Z6" i="9"/>
  <c r="Z18" i="9" s="1"/>
  <c r="Z10" i="9"/>
  <c r="Z17" i="9" s="1"/>
  <c r="X25" i="10"/>
  <c r="Y25" i="10" s="1"/>
  <c r="Y19" i="9"/>
  <c r="Z19" i="9" s="1"/>
  <c r="Z25" i="9" l="1"/>
  <c r="AD4" i="9"/>
  <c r="AA6" i="9"/>
  <c r="AA18" i="9" s="1"/>
  <c r="AA10" i="9"/>
  <c r="AA17" i="9" s="1"/>
  <c r="Z10" i="10"/>
  <c r="Z17" i="10" s="1"/>
  <c r="AA4" i="10"/>
  <c r="Z6" i="10"/>
  <c r="Z25" i="10"/>
  <c r="Y18" i="10"/>
  <c r="Y19" i="10"/>
  <c r="Z19" i="10" s="1"/>
  <c r="AD4" i="10" l="1"/>
  <c r="AA6" i="10"/>
  <c r="AA10" i="10"/>
  <c r="AA17" i="10" s="1"/>
  <c r="AA25" i="10"/>
  <c r="AA19" i="10"/>
  <c r="AA25" i="9"/>
  <c r="Z18" i="10"/>
  <c r="AE4" i="9"/>
  <c r="AD6" i="9"/>
  <c r="AD18" i="9" s="1"/>
  <c r="AD10" i="9"/>
  <c r="AD17" i="9" s="1"/>
  <c r="AA19" i="9"/>
  <c r="AD19" i="9" l="1"/>
  <c r="AD25" i="9"/>
  <c r="AA18" i="10"/>
  <c r="AF4" i="9"/>
  <c r="AE6" i="9"/>
  <c r="AE10" i="9"/>
  <c r="AE17" i="9" s="1"/>
  <c r="AE4" i="10"/>
  <c r="AD6" i="10"/>
  <c r="AD18" i="10" s="1"/>
  <c r="AD25" i="10" s="1"/>
  <c r="AD10" i="10"/>
  <c r="AD17" i="10" s="1"/>
  <c r="AF4" i="10" l="1"/>
  <c r="AE6" i="10"/>
  <c r="AE10" i="10"/>
  <c r="AE17" i="10" s="1"/>
  <c r="AE18" i="9"/>
  <c r="AE25" i="9"/>
  <c r="AG4" i="9"/>
  <c r="AF6" i="9"/>
  <c r="AF18" i="9" s="1"/>
  <c r="AF10" i="9"/>
  <c r="AF17" i="9" s="1"/>
  <c r="AD19" i="10"/>
  <c r="AE19" i="10" s="1"/>
  <c r="AE19" i="9"/>
  <c r="AF19" i="9" s="1"/>
  <c r="AF25" i="9" l="1"/>
  <c r="AH4" i="9"/>
  <c r="AG6" i="9"/>
  <c r="AG10" i="9"/>
  <c r="AG17" i="9" s="1"/>
  <c r="AE18" i="10"/>
  <c r="AE25" i="10" s="1"/>
  <c r="AG4" i="10"/>
  <c r="AF6" i="10"/>
  <c r="AF10" i="10"/>
  <c r="AF17" i="10" s="1"/>
  <c r="AF18" i="10" l="1"/>
  <c r="AI4" i="9"/>
  <c r="AH6" i="9"/>
  <c r="AH18" i="9" s="1"/>
  <c r="AH10" i="9"/>
  <c r="AH17" i="9" s="1"/>
  <c r="AH4" i="10"/>
  <c r="AG6" i="10"/>
  <c r="AG10" i="10"/>
  <c r="AG17" i="10" s="1"/>
  <c r="AG18" i="9"/>
  <c r="AG25" i="9" s="1"/>
  <c r="AH25" i="9" s="1"/>
  <c r="AF25" i="10"/>
  <c r="AF19" i="10"/>
  <c r="AG19" i="9"/>
  <c r="AH19" i="9" s="1"/>
  <c r="AI4" i="10" l="1"/>
  <c r="AH6" i="10"/>
  <c r="AH10" i="10"/>
  <c r="AH17" i="10" s="1"/>
  <c r="AG19" i="10"/>
  <c r="AH19" i="10" s="1"/>
  <c r="AG18" i="10"/>
  <c r="AG25" i="10" s="1"/>
  <c r="AJ4" i="9"/>
  <c r="AI6" i="9"/>
  <c r="AI10" i="9"/>
  <c r="AI17" i="9" s="1"/>
  <c r="AI18" i="9" l="1"/>
  <c r="AI25" i="9" s="1"/>
  <c r="AH18" i="10"/>
  <c r="AH25" i="10" s="1"/>
  <c r="AK4" i="9"/>
  <c r="AJ6" i="9"/>
  <c r="AJ10" i="9"/>
  <c r="AJ17" i="9" s="1"/>
  <c r="AJ4" i="10"/>
  <c r="AI6" i="10"/>
  <c r="AI10" i="10"/>
  <c r="AI17" i="10" s="1"/>
  <c r="AI19" i="9"/>
  <c r="AJ19" i="9" s="1"/>
  <c r="AI18" i="10" l="1"/>
  <c r="AI25" i="10" s="1"/>
  <c r="AI19" i="10"/>
  <c r="AK4" i="10"/>
  <c r="AJ6" i="10"/>
  <c r="AJ10" i="10"/>
  <c r="AJ17" i="10" s="1"/>
  <c r="AJ18" i="9"/>
  <c r="AK6" i="9"/>
  <c r="AK18" i="9" s="1"/>
  <c r="AK10" i="9"/>
  <c r="AK17" i="9" s="1"/>
  <c r="AL4" i="9"/>
  <c r="AJ25" i="9"/>
  <c r="AK25" i="9" l="1"/>
  <c r="AL10" i="9"/>
  <c r="AL17" i="9" s="1"/>
  <c r="AL6" i="9"/>
  <c r="AL18" i="9" s="1"/>
  <c r="AM4" i="9"/>
  <c r="AJ19" i="10"/>
  <c r="AK19" i="9"/>
  <c r="AL19" i="9" s="1"/>
  <c r="AJ18" i="10"/>
  <c r="AJ25" i="10" s="1"/>
  <c r="AL4" i="10"/>
  <c r="AK6" i="10"/>
  <c r="AK10" i="10"/>
  <c r="AK17" i="10" s="1"/>
  <c r="AM4" i="10" l="1"/>
  <c r="AL6" i="10"/>
  <c r="AL10" i="10"/>
  <c r="AL17" i="10" s="1"/>
  <c r="AK18" i="10"/>
  <c r="AK25" i="10" s="1"/>
  <c r="AK19" i="10"/>
  <c r="AL19" i="10" s="1"/>
  <c r="AM10" i="9"/>
  <c r="AM17" i="9" s="1"/>
  <c r="AN4" i="9"/>
  <c r="AM6" i="9"/>
  <c r="AL25" i="9"/>
  <c r="AN10" i="9" l="1"/>
  <c r="AN17" i="9" s="1"/>
  <c r="AO4" i="9"/>
  <c r="AN6" i="9"/>
  <c r="AN18" i="9" s="1"/>
  <c r="AM18" i="9"/>
  <c r="AM25" i="9" s="1"/>
  <c r="AN25" i="9" s="1"/>
  <c r="AM19" i="9"/>
  <c r="AN19" i="9" s="1"/>
  <c r="AL18" i="10"/>
  <c r="AL25" i="10" s="1"/>
  <c r="AM6" i="10"/>
  <c r="AM10" i="10"/>
  <c r="AM17" i="10" s="1"/>
  <c r="AN4" i="10"/>
  <c r="AN10" i="10" l="1"/>
  <c r="AN17" i="10" s="1"/>
  <c r="AN6" i="10"/>
  <c r="AO4" i="10"/>
  <c r="AO6" i="9"/>
  <c r="AO10" i="9"/>
  <c r="AO17" i="9" s="1"/>
  <c r="AO19" i="9" s="1"/>
  <c r="AM18" i="10"/>
  <c r="AM25" i="10" s="1"/>
  <c r="AM19" i="10"/>
  <c r="AN19" i="10" s="1"/>
  <c r="AO18" i="9" l="1"/>
  <c r="AO25" i="9" s="1"/>
  <c r="AO10" i="10"/>
  <c r="AO17" i="10" s="1"/>
  <c r="AO6" i="10"/>
  <c r="AO18" i="10" s="1"/>
  <c r="AN18" i="10"/>
  <c r="AN25" i="10" s="1"/>
  <c r="AO25" i="10" s="1"/>
  <c r="AO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800-000007000000}">
      <text>
        <r>
          <rPr>
            <sz val="11"/>
            <color theme="1"/>
            <rFont val="Calibri"/>
            <scheme val="minor"/>
          </rPr>
          <t>======
ID#AAABD3o5-yI
Jonathan Clark    (2024-01-11 02:11:51)
Current Plus 330 @$10/</t>
        </r>
      </text>
    </comment>
    <comment ref="C4" authorId="0" shapeId="0" xr:uid="{00000000-0006-0000-0800-000012000000}">
      <text>
        <r>
          <rPr>
            <sz val="11"/>
            <color theme="1"/>
            <rFont val="Calibri"/>
            <scheme val="minor"/>
          </rPr>
          <t>======
ID#AAABD3o5-wU
Jonathan Clark    (2024-01-11 02:11:51)
Raise LA Medspa to $12</t>
        </r>
      </text>
    </comment>
    <comment ref="E4" authorId="0" shapeId="0" xr:uid="{00000000-0006-0000-0800-000009000000}">
      <text>
        <r>
          <rPr>
            <sz val="11"/>
            <color theme="1"/>
            <rFont val="Calibri"/>
            <scheme val="minor"/>
          </rPr>
          <t>======
ID#AAABD3o5-x4
Jonathan Clark    (2024-01-11 02:11:51)
Rent 102@$16/</t>
        </r>
      </text>
    </comment>
    <comment ref="H4" authorId="0" shapeId="0" xr:uid="{00000000-0006-0000-0800-00000B000000}">
      <text>
        <r>
          <rPr>
            <sz val="11"/>
            <color theme="1"/>
            <rFont val="Calibri"/>
            <scheme val="minor"/>
          </rPr>
          <t>======
ID#AAABD3o5-xY
Jonathan Clark    (2024-01-11 02:11:51)
Rent 116@$16/</t>
        </r>
      </text>
    </comment>
    <comment ref="P4" authorId="0" shapeId="0" xr:uid="{00000000-0006-0000-0800-000010000000}">
      <text>
        <r>
          <rPr>
            <sz val="11"/>
            <color theme="1"/>
            <rFont val="Calibri"/>
            <scheme val="minor"/>
          </rPr>
          <t>======
ID#AAABD3o5-ww
Jonathan Clark    (2024-01-11 02:11:51)
Current plus 3%</t>
        </r>
      </text>
    </comment>
    <comment ref="Q4" authorId="0" shapeId="0" xr:uid="{00000000-0006-0000-0800-00000F000000}">
      <text>
        <r>
          <rPr>
            <sz val="11"/>
            <color theme="1"/>
            <rFont val="Calibri"/>
            <scheme val="minor"/>
          </rPr>
          <t>======
ID#AAABD3o5-w4
Jonathan Clark    (2024-01-11 02:11:51)
Restaurant space @$10/</t>
        </r>
      </text>
    </comment>
    <comment ref="S4" authorId="0" shapeId="0" xr:uid="{00000000-0006-0000-0800-000008000000}">
      <text>
        <r>
          <rPr>
            <sz val="11"/>
            <color theme="1"/>
            <rFont val="Calibri"/>
            <scheme val="minor"/>
          </rPr>
          <t>======
ID#AAABD3o5-x8
Jonathan Clark    (2024-01-11 02:11:51)
Rent 307@$10/</t>
        </r>
      </text>
    </comment>
    <comment ref="B16" authorId="0" shapeId="0" xr:uid="{00000000-0006-0000-0800-000016000000}">
      <text>
        <r>
          <rPr>
            <sz val="11"/>
            <color theme="1"/>
            <rFont val="Calibri"/>
            <scheme val="minor"/>
          </rPr>
          <t>======
ID#AAABD3o5-wE
Jonathan Clark    (2024-01-11 02:11:51)
HVAC</t>
        </r>
      </text>
    </comment>
    <comment ref="C16" authorId="0" shapeId="0" xr:uid="{00000000-0006-0000-0800-00000D000000}">
      <text>
        <r>
          <rPr>
            <sz val="11"/>
            <color theme="1"/>
            <rFont val="Calibri"/>
            <scheme val="minor"/>
          </rPr>
          <t>======
ID#AAABD3o5-w0
Jonathan Clark    (2024-01-11 02:11:51)
Paint Building</t>
        </r>
      </text>
    </comment>
    <comment ref="E16" authorId="0" shapeId="0" xr:uid="{00000000-0006-0000-0800-000005000000}">
      <text>
        <r>
          <rPr>
            <sz val="11"/>
            <color theme="1"/>
            <rFont val="Calibri"/>
            <scheme val="minor"/>
          </rPr>
          <t>======
ID#AAABD3o5-yw
Jonathan Clark    (2024-01-11 02:11:51)
HVAC</t>
        </r>
      </text>
    </comment>
    <comment ref="H16" authorId="0" shapeId="0" xr:uid="{00000000-0006-0000-0800-00000C000000}">
      <text>
        <r>
          <rPr>
            <sz val="11"/>
            <color theme="1"/>
            <rFont val="Calibri"/>
            <scheme val="minor"/>
          </rPr>
          <t>======
ID#AAABD3o5-xA
Jonathan Clark    (2024-01-11 02:11:51)
HVAC</t>
        </r>
      </text>
    </comment>
    <comment ref="L16" authorId="0" shapeId="0" xr:uid="{00000000-0006-0000-0800-00000A000000}">
      <text>
        <r>
          <rPr>
            <sz val="11"/>
            <color theme="1"/>
            <rFont val="Calibri"/>
            <scheme val="minor"/>
          </rPr>
          <t>======
ID#AAABD3o5-xc
Jonathan Clark    (2024-01-11 02:11:51)
HVAC</t>
        </r>
      </text>
    </comment>
    <comment ref="P16" authorId="0" shapeId="0" xr:uid="{00000000-0006-0000-0800-000003000000}">
      <text>
        <r>
          <rPr>
            <sz val="11"/>
            <color theme="1"/>
            <rFont val="Calibri"/>
            <scheme val="minor"/>
          </rPr>
          <t>======
ID#AAABD3o5-yg
Jonathan Clark    (2024-01-11 02:11:51)
Jonathan Clark
Update elevator1</t>
        </r>
      </text>
    </comment>
    <comment ref="Q16" authorId="0" shapeId="0" xr:uid="{00000000-0006-0000-0800-000013000000}">
      <text>
        <r>
          <rPr>
            <sz val="11"/>
            <color theme="1"/>
            <rFont val="Calibri"/>
            <scheme val="minor"/>
          </rPr>
          <t>======
ID#AAABD3o5-wo
Jonathan Clark    (2024-01-11 02:11:51)
HVAC</t>
        </r>
      </text>
    </comment>
    <comment ref="S16" authorId="0" shapeId="0" xr:uid="{00000000-0006-0000-0800-000006000000}">
      <text>
        <r>
          <rPr>
            <sz val="11"/>
            <color theme="1"/>
            <rFont val="Calibri"/>
            <scheme val="minor"/>
          </rPr>
          <t>======
ID#AAABD3o5-yE
Jonathan Clark    (2024-01-11 02:11:51)
HVAC</t>
        </r>
      </text>
    </comment>
    <comment ref="V16" authorId="0" shapeId="0" xr:uid="{00000000-0006-0000-0800-000015000000}">
      <text>
        <r>
          <rPr>
            <sz val="11"/>
            <color theme="1"/>
            <rFont val="Calibri"/>
            <scheme val="minor"/>
          </rPr>
          <t>======
ID#AAABD3o5-wM
Jonathan Clark    (2024-01-11 02:11:51)
HVAC</t>
        </r>
      </text>
    </comment>
    <comment ref="W16" authorId="0" shapeId="0" xr:uid="{00000000-0006-0000-0800-000014000000}">
      <text>
        <r>
          <rPr>
            <sz val="11"/>
            <color theme="1"/>
            <rFont val="Calibri"/>
            <scheme val="minor"/>
          </rPr>
          <t>======
ID#AAABD3o5-wg
Jonathan Clark    (2024-01-11 02:11:51)
HVAC</t>
        </r>
      </text>
    </comment>
    <comment ref="AA16" authorId="0" shapeId="0" xr:uid="{00000000-0006-0000-0800-000004000000}">
      <text>
        <r>
          <rPr>
            <sz val="11"/>
            <color theme="1"/>
            <rFont val="Calibri"/>
            <scheme val="minor"/>
          </rPr>
          <t>======
ID#AAABD3o5-ys
Jonathan Clark    (2024-01-11 02:11:51)
Jonathan Clark
Update elevator2</t>
        </r>
      </text>
    </comment>
    <comment ref="AE16" authorId="0" shapeId="0" xr:uid="{00000000-0006-0000-0800-000002000000}">
      <text>
        <r>
          <rPr>
            <sz val="11"/>
            <color theme="1"/>
            <rFont val="Calibri"/>
            <scheme val="minor"/>
          </rPr>
          <t>======
ID#AAABD3o5-y8
Jonathan Clark    (2024-01-11 02:11:51)
HVAC</t>
        </r>
      </text>
    </comment>
    <comment ref="AG16" authorId="0" shapeId="0" xr:uid="{00000000-0006-0000-0800-00000E000000}">
      <text>
        <r>
          <rPr>
            <sz val="11"/>
            <color theme="1"/>
            <rFont val="Calibri"/>
            <scheme val="minor"/>
          </rPr>
          <t>======
ID#AAABD3o5-ws
Jonathan Clark    (2024-01-11 02:11:51)
HVAC</t>
        </r>
      </text>
    </comment>
    <comment ref="AJ16" authorId="0" shapeId="0" xr:uid="{00000000-0006-0000-0800-000001000000}">
      <text>
        <r>
          <rPr>
            <sz val="11"/>
            <color theme="1"/>
            <rFont val="Calibri"/>
            <scheme val="minor"/>
          </rPr>
          <t>======
ID#AAABD3o5-y4
Jonathan Clark    (2024-01-11 02:11:51)
HVAC</t>
        </r>
      </text>
    </comment>
    <comment ref="AK16" authorId="0" shapeId="0" xr:uid="{00000000-0006-0000-0800-000011000000}">
      <text>
        <r>
          <rPr>
            <sz val="11"/>
            <color theme="1"/>
            <rFont val="Calibri"/>
            <scheme val="minor"/>
          </rPr>
          <t>======
ID#AAABD3o5-wQ
Jonathan Clark    (2024-01-11 02:11:51)
HVAC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Ow346s+6HW0ZbfBx04BeI8lwLt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900-00000F000000}">
      <text>
        <r>
          <rPr>
            <sz val="11"/>
            <color theme="1"/>
            <rFont val="Calibri"/>
            <scheme val="minor"/>
          </rPr>
          <t>======
ID#AAABD3o5-xg
Jonathan Clark    (2024-01-11 02:11:51)
Current Plus 330 @$10/</t>
        </r>
      </text>
    </comment>
    <comment ref="C4" authorId="0" shapeId="0" xr:uid="{00000000-0006-0000-0900-000012000000}">
      <text>
        <r>
          <rPr>
            <sz val="11"/>
            <color theme="1"/>
            <rFont val="Calibri"/>
            <scheme val="minor"/>
          </rPr>
          <t>======
ID#AAABD3o5-xQ
Jonathan Clark    (2024-01-11 02:11:51)
Raise LA Medspa to $12</t>
        </r>
      </text>
    </comment>
    <comment ref="E4" authorId="0" shapeId="0" xr:uid="{00000000-0006-0000-0900-000014000000}">
      <text>
        <r>
          <rPr>
            <sz val="11"/>
            <color theme="1"/>
            <rFont val="Calibri"/>
            <scheme val="minor"/>
          </rPr>
          <t>======
ID#AAABD3o5-xE
Jonathan Clark    (2024-01-11 02:11:51)
Rent 102@$14/ instead of 16</t>
        </r>
      </text>
    </comment>
    <comment ref="H4" authorId="0" shapeId="0" xr:uid="{00000000-0006-0000-0900-000017000000}">
      <text>
        <r>
          <rPr>
            <sz val="11"/>
            <color theme="1"/>
            <rFont val="Calibri"/>
            <scheme val="minor"/>
          </rPr>
          <t>======
ID#AAABD3o5-wk
Jonathan Clark    (2024-01-11 02:11:51)
Rent 116@$14/ instead of 16</t>
        </r>
      </text>
    </comment>
    <comment ref="P4" authorId="0" shapeId="0" xr:uid="{00000000-0006-0000-0900-00000A000000}">
      <text>
        <r>
          <rPr>
            <sz val="11"/>
            <color theme="1"/>
            <rFont val="Calibri"/>
            <scheme val="minor"/>
          </rPr>
          <t>======
ID#AAABD3o5-xk
Jonathan Clark    (2024-01-11 02:11:51)
Current plus 3%</t>
        </r>
      </text>
    </comment>
    <comment ref="Q4" authorId="0" shapeId="0" xr:uid="{00000000-0006-0000-0900-000016000000}">
      <text>
        <r>
          <rPr>
            <sz val="11"/>
            <color theme="1"/>
            <rFont val="Calibri"/>
            <scheme val="minor"/>
          </rPr>
          <t>======
ID#AAABD3o5-wY
Jonathan Clark    (2024-01-11 02:11:51)
Restaurant space @$10/</t>
        </r>
      </text>
    </comment>
    <comment ref="S4" authorId="0" shapeId="0" xr:uid="{00000000-0006-0000-0900-00001A000000}">
      <text>
        <r>
          <rPr>
            <sz val="11"/>
            <color theme="1"/>
            <rFont val="Calibri"/>
            <scheme val="minor"/>
          </rPr>
          <t>======
ID#AAABD3o5-wA
Jonathan Clark    (2024-01-11 02:11:51)
Rent 307@$10/</t>
        </r>
      </text>
    </comment>
    <comment ref="B16" authorId="0" shapeId="0" xr:uid="{00000000-0006-0000-0900-000002000000}">
      <text>
        <r>
          <rPr>
            <sz val="11"/>
            <color theme="1"/>
            <rFont val="Calibri"/>
            <scheme val="minor"/>
          </rPr>
          <t>======
ID#AAABD3o5-yo
Jonathan Clark    (2024-01-11 02:11:51)
HVAC</t>
        </r>
      </text>
    </comment>
    <comment ref="C16" authorId="0" shapeId="0" xr:uid="{00000000-0006-0000-0900-00000B000000}">
      <text>
        <r>
          <rPr>
            <sz val="11"/>
            <color theme="1"/>
            <rFont val="Calibri"/>
            <scheme val="minor"/>
          </rPr>
          <t>======
ID#AAABD3o5-xo
Jonathan Clark    (2024-01-11 02:11:51)
Paint Building</t>
        </r>
      </text>
    </comment>
    <comment ref="D16" authorId="0" shapeId="0" xr:uid="{00000000-0006-0000-0900-000008000000}">
      <text>
        <r>
          <rPr>
            <sz val="11"/>
            <color theme="1"/>
            <rFont val="Calibri"/>
            <scheme val="minor"/>
          </rPr>
          <t>======
ID#AAABD3o5-yY
Jonathan Clark    (2024-01-11 02:11:51)
HVAC</t>
        </r>
      </text>
    </comment>
    <comment ref="E16" authorId="0" shapeId="0" xr:uid="{00000000-0006-0000-0900-000007000000}">
      <text>
        <r>
          <rPr>
            <sz val="11"/>
            <color theme="1"/>
            <rFont val="Calibri"/>
            <scheme val="minor"/>
          </rPr>
          <t>======
ID#AAABD3o5-yU
Jonathan Clark    (2024-01-11 02:11:51)
HVAC</t>
        </r>
      </text>
    </comment>
    <comment ref="G16" authorId="0" shapeId="0" xr:uid="{00000000-0006-0000-0900-000010000000}">
      <text>
        <r>
          <rPr>
            <sz val="11"/>
            <color theme="1"/>
            <rFont val="Calibri"/>
            <scheme val="minor"/>
          </rPr>
          <t>======
ID#AAABD3o5-xI
Jonathan Clark    (2024-01-11 02:11:51)
HVAC</t>
        </r>
      </text>
    </comment>
    <comment ref="H16" authorId="0" shapeId="0" xr:uid="{00000000-0006-0000-0900-000013000000}">
      <text>
        <r>
          <rPr>
            <sz val="11"/>
            <color theme="1"/>
            <rFont val="Calibri"/>
            <scheme val="minor"/>
          </rPr>
          <t>======
ID#AAABD3o5-xU
Jonathan Clark    (2024-01-11 02:11:51)
HVAC</t>
        </r>
      </text>
    </comment>
    <comment ref="L16" authorId="0" shapeId="0" xr:uid="{00000000-0006-0000-0900-00000C000000}">
      <text>
        <r>
          <rPr>
            <sz val="11"/>
            <color theme="1"/>
            <rFont val="Calibri"/>
            <scheme val="minor"/>
          </rPr>
          <t>======
ID#AAABD3o5-x0
Jonathan Clark    (2024-01-11 02:11:51)
HVAC</t>
        </r>
      </text>
    </comment>
    <comment ref="P16" authorId="0" shapeId="0" xr:uid="{00000000-0006-0000-0900-000009000000}">
      <text>
        <r>
          <rPr>
            <sz val="11"/>
            <color theme="1"/>
            <rFont val="Calibri"/>
            <scheme val="minor"/>
          </rPr>
          <t>======
ID#AAABD3o5-yA
Jonathan Clark    (2024-01-11 02:11:51)
Jonathan Clark
Update elevator1</t>
        </r>
      </text>
    </comment>
    <comment ref="Q16" authorId="0" shapeId="0" xr:uid="{00000000-0006-0000-0900-000001000000}">
      <text>
        <r>
          <rPr>
            <sz val="11"/>
            <color theme="1"/>
            <rFont val="Calibri"/>
            <scheme val="minor"/>
          </rPr>
          <t>======
ID#AAABD3o5-yk
Jonathan Clark    (2024-01-11 02:11:51)
HVAC</t>
        </r>
      </text>
    </comment>
    <comment ref="S16" authorId="0" shapeId="0" xr:uid="{00000000-0006-0000-0900-000005000000}">
      <text>
        <r>
          <rPr>
            <sz val="11"/>
            <color theme="1"/>
            <rFont val="Calibri"/>
            <scheme val="minor"/>
          </rPr>
          <t>======
ID#AAABD3o5-yM
Jonathan Clark    (2024-01-11 02:11:51)
HVAC</t>
        </r>
      </text>
    </comment>
    <comment ref="V16" authorId="0" shapeId="0" xr:uid="{00000000-0006-0000-0900-000006000000}">
      <text>
        <r>
          <rPr>
            <sz val="11"/>
            <color theme="1"/>
            <rFont val="Calibri"/>
            <scheme val="minor"/>
          </rPr>
          <t>======
ID#AAABD3o5-yQ
Jonathan Clark    (2024-01-11 02:11:51)
HVAC</t>
        </r>
      </text>
    </comment>
    <comment ref="W16" authorId="0" shapeId="0" xr:uid="{00000000-0006-0000-0900-000004000000}">
      <text>
        <r>
          <rPr>
            <sz val="11"/>
            <color theme="1"/>
            <rFont val="Calibri"/>
            <scheme val="minor"/>
          </rPr>
          <t>======
ID#AAABD3o5-yc
Jonathan Clark    (2024-01-11 02:11:51)
HVAC</t>
        </r>
      </text>
    </comment>
    <comment ref="Y16" authorId="0" shapeId="0" xr:uid="{00000000-0006-0000-0900-000011000000}">
      <text>
        <r>
          <rPr>
            <sz val="11"/>
            <color theme="1"/>
            <rFont val="Calibri"/>
            <scheme val="minor"/>
          </rPr>
          <t>======
ID#AAABD3o5-xM
Jonathan Clark    (2024-01-11 02:11:51)
HVAC</t>
        </r>
      </text>
    </comment>
    <comment ref="Z16" authorId="0" shapeId="0" xr:uid="{00000000-0006-0000-0900-000019000000}">
      <text>
        <r>
          <rPr>
            <sz val="11"/>
            <color theme="1"/>
            <rFont val="Calibri"/>
            <scheme val="minor"/>
          </rPr>
          <t>======
ID#AAABD3o5-wI
Jonathan Clark    (2024-01-11 02:11:51)
HVAC</t>
        </r>
      </text>
    </comment>
    <comment ref="AA16" authorId="0" shapeId="0" xr:uid="{00000000-0006-0000-0900-00000D000000}">
      <text>
        <r>
          <rPr>
            <sz val="11"/>
            <color theme="1"/>
            <rFont val="Calibri"/>
            <scheme val="minor"/>
          </rPr>
          <t>======
ID#AAABD3o5-xs
Jonathan Clark    (2024-01-11 02:11:51)
Jonathan Clark
Delay Elevator 2 update</t>
        </r>
      </text>
    </comment>
    <comment ref="AE16" authorId="0" shapeId="0" xr:uid="{00000000-0006-0000-0900-000003000000}">
      <text>
        <r>
          <rPr>
            <sz val="11"/>
            <color theme="1"/>
            <rFont val="Calibri"/>
            <scheme val="minor"/>
          </rPr>
          <t>======
ID#AAABD3o5-y0
Jonathan Clark    (2024-01-11 02:11:51)
HVAC</t>
        </r>
      </text>
    </comment>
    <comment ref="AG16" authorId="0" shapeId="0" xr:uid="{00000000-0006-0000-0900-00000E000000}">
      <text>
        <r>
          <rPr>
            <sz val="11"/>
            <color theme="1"/>
            <rFont val="Calibri"/>
            <scheme val="minor"/>
          </rPr>
          <t>======
ID#AAABD3o5-xw
Jonathan Clark    (2024-01-11 02:11:51)
HVAC</t>
        </r>
      </text>
    </comment>
    <comment ref="AJ16" authorId="0" shapeId="0" xr:uid="{00000000-0006-0000-0900-000015000000}">
      <text>
        <r>
          <rPr>
            <sz val="11"/>
            <color theme="1"/>
            <rFont val="Calibri"/>
            <scheme val="minor"/>
          </rPr>
          <t>======
ID#AAABD3o5-w8
Jonathan Clark    (2024-01-11 02:11:51)
HVAC</t>
        </r>
      </text>
    </comment>
    <comment ref="AK16" authorId="0" shapeId="0" xr:uid="{00000000-0006-0000-0900-000018000000}">
      <text>
        <r>
          <rPr>
            <sz val="11"/>
            <color theme="1"/>
            <rFont val="Calibri"/>
            <scheme val="minor"/>
          </rPr>
          <t>======
ID#AAABD3o5-wc
Jonathan Clark    (2024-01-11 02:11:51)
HVAC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m5OvsCHHIN/aWVG2apUf/QnuNnw=="/>
    </ext>
  </extLst>
</comments>
</file>

<file path=xl/sharedStrings.xml><?xml version="1.0" encoding="utf-8"?>
<sst xmlns="http://schemas.openxmlformats.org/spreadsheetml/2006/main" count="1002" uniqueCount="282">
  <si>
    <t>Unit #</t>
  </si>
  <si>
    <t>Tenant Name</t>
  </si>
  <si>
    <t>Description</t>
  </si>
  <si>
    <t>SF</t>
  </si>
  <si>
    <t>% of GLA</t>
  </si>
  <si>
    <t>Annual Rent/SF Gross</t>
  </si>
  <si>
    <t>New Lease Annual Amount</t>
  </si>
  <si>
    <t>New Tenants</t>
  </si>
  <si>
    <t>Dragon Klaws</t>
  </si>
  <si>
    <t>Pedicure</t>
  </si>
  <si>
    <t>Katy Canion</t>
  </si>
  <si>
    <t>Pilates &amp; Yoga studio</t>
  </si>
  <si>
    <t>Credit Cord</t>
  </si>
  <si>
    <t>Credit Repair Business</t>
  </si>
  <si>
    <t>Rogers &amp; Associates</t>
  </si>
  <si>
    <t>Polygraph Business</t>
  </si>
  <si>
    <t>214-215</t>
  </si>
  <si>
    <t>Pedi Queen LLC</t>
  </si>
  <si>
    <t>Nail Salon</t>
  </si>
  <si>
    <t>Freedom 4T Coworking</t>
  </si>
  <si>
    <t>Coworking Office</t>
  </si>
  <si>
    <t>Hunter &amp; Grayson</t>
  </si>
  <si>
    <t>Permanent Makeup / tatoo</t>
  </si>
  <si>
    <t>Roc Luxury Studios</t>
  </si>
  <si>
    <t>Hair Braiding</t>
  </si>
  <si>
    <t>Parking</t>
  </si>
  <si>
    <t>Tacqueria El Tucon</t>
  </si>
  <si>
    <t>Mexican Food Truck</t>
  </si>
  <si>
    <t>Newly leased percentage</t>
  </si>
  <si>
    <t>Lease Renewals Amount Increased</t>
  </si>
  <si>
    <t>New Life</t>
  </si>
  <si>
    <t>Meeting Center</t>
  </si>
  <si>
    <t>Annual increase</t>
  </si>
  <si>
    <t>202-206</t>
  </si>
  <si>
    <t>Bar Watson</t>
  </si>
  <si>
    <t>Restaurant and Club</t>
  </si>
  <si>
    <t>V Frances</t>
  </si>
  <si>
    <t>Event Center</t>
  </si>
  <si>
    <t>Expected Annual Rent/SF Gross</t>
  </si>
  <si>
    <t>Potential Annual Rent</t>
  </si>
  <si>
    <t>102-104</t>
  </si>
  <si>
    <t>Vacant</t>
  </si>
  <si>
    <t>Retail, event space previously</t>
  </si>
  <si>
    <t>107-111</t>
  </si>
  <si>
    <t>Potential restaurant with kitchen buildout</t>
  </si>
  <si>
    <t>Using for maintenance / storage, low visibility</t>
  </si>
  <si>
    <t>Retail</t>
  </si>
  <si>
    <t>Office or restaurant</t>
  </si>
  <si>
    <t>Office</t>
  </si>
  <si>
    <t>309-310</t>
  </si>
  <si>
    <t>Lease up during due diligence, current status</t>
  </si>
  <si>
    <t>Annual Rent</t>
  </si>
  <si>
    <t>Monthly Rent</t>
  </si>
  <si>
    <t>Lease Start</t>
  </si>
  <si>
    <t>Lease Exp</t>
  </si>
  <si>
    <t>Lease Duration (yrs)</t>
  </si>
  <si>
    <t>Lease Type</t>
  </si>
  <si>
    <t>Annual % Inc</t>
  </si>
  <si>
    <t>Annual Rent Bump</t>
  </si>
  <si>
    <t># Options</t>
  </si>
  <si>
    <t>Tobacco Shop</t>
  </si>
  <si>
    <t>Units A &amp; B, nice inside</t>
  </si>
  <si>
    <t>1,872 SF</t>
  </si>
  <si>
    <t>$ -</t>
  </si>
  <si>
    <t>1, 3 year</t>
  </si>
  <si>
    <t>An Le Nails</t>
  </si>
  <si>
    <t>Long term tenant nail salon</t>
  </si>
  <si>
    <t>732 SF</t>
  </si>
  <si>
    <t>Gross</t>
  </si>
  <si>
    <t>Freshly painted, ready to lease</t>
  </si>
  <si>
    <t>2,663 SF</t>
  </si>
  <si>
    <t>MG</t>
  </si>
  <si>
    <t>Happy Collective</t>
  </si>
  <si>
    <t xml:space="preserve">Boutique Store </t>
  </si>
  <si>
    <t>1,300 SF</t>
  </si>
  <si>
    <t>Shefa Hair Salong</t>
  </si>
  <si>
    <t>Long term tenant</t>
  </si>
  <si>
    <t>1,240 SF</t>
  </si>
  <si>
    <t>1, 5 year</t>
  </si>
  <si>
    <t>3,000 SF</t>
  </si>
  <si>
    <t>V. Frances</t>
  </si>
  <si>
    <t>Event center</t>
  </si>
  <si>
    <t>2,014 SF</t>
  </si>
  <si>
    <t>1,319 SF</t>
  </si>
  <si>
    <t>2,287 SF</t>
  </si>
  <si>
    <t>Mexiwings IX</t>
  </si>
  <si>
    <t>Restaurant</t>
  </si>
  <si>
    <t>3,148 SF</t>
  </si>
  <si>
    <t>1, 10 year @ market</t>
  </si>
  <si>
    <t>Watson's Bar</t>
  </si>
  <si>
    <t>Bar &amp; Restaurant</t>
  </si>
  <si>
    <t>7,100 SF</t>
  </si>
  <si>
    <t>207-109</t>
  </si>
  <si>
    <t>LA Med Spa</t>
  </si>
  <si>
    <t>Med Spa</t>
  </si>
  <si>
    <t>2,450 SF</t>
  </si>
  <si>
    <t>mtm</t>
  </si>
  <si>
    <t>Platinum Recruiting</t>
  </si>
  <si>
    <t>Recruting agency</t>
  </si>
  <si>
    <t>1,215 SF</t>
  </si>
  <si>
    <t>freshly painted, ready to lease</t>
  </si>
  <si>
    <t>2,400 SF</t>
  </si>
  <si>
    <t>1,245 SF</t>
  </si>
  <si>
    <t>1,828 SF</t>
  </si>
  <si>
    <t>Indian Group</t>
  </si>
  <si>
    <t>Meeting space</t>
  </si>
  <si>
    <t>1,817 SF</t>
  </si>
  <si>
    <t>Ready to Lease</t>
  </si>
  <si>
    <t>1,800 SF</t>
  </si>
  <si>
    <t>1,794 SF</t>
  </si>
  <si>
    <t>Needs Paint and remove carpet</t>
  </si>
  <si>
    <t>1,151 SF</t>
  </si>
  <si>
    <t>1,133 SF</t>
  </si>
  <si>
    <t>Needs t-grid, tiles and flooring</t>
  </si>
  <si>
    <t>1,463 SF</t>
  </si>
  <si>
    <t>Roxane</t>
  </si>
  <si>
    <t>Hair Braiding &amp; Salon</t>
  </si>
  <si>
    <t>1,566 SF</t>
  </si>
  <si>
    <t>Needs ceiling tile, flooring</t>
  </si>
  <si>
    <t>1,179 SF</t>
  </si>
  <si>
    <t>Ready to rent</t>
  </si>
  <si>
    <t>1,154 SF</t>
  </si>
  <si>
    <t>1,175 SF</t>
  </si>
  <si>
    <t>2,860 SF</t>
  </si>
  <si>
    <t>WE Wholesale TN, LLC</t>
  </si>
  <si>
    <t>Open box / wholesale outlet</t>
  </si>
  <si>
    <t>3,100 SF</t>
  </si>
  <si>
    <t>4,000 SF</t>
  </si>
  <si>
    <t>1, 2 yr</t>
  </si>
  <si>
    <t>Sign</t>
  </si>
  <si>
    <t>Plainview Outdoor</t>
  </si>
  <si>
    <t>Digital sign</t>
  </si>
  <si>
    <t>-</t>
  </si>
  <si>
    <t>annual agreement</t>
  </si>
  <si>
    <t>65,925 SF</t>
  </si>
  <si>
    <t>vacant</t>
  </si>
  <si>
    <t>26,138 SF</t>
  </si>
  <si>
    <t>Last sold for $2.4M November 2016</t>
  </si>
  <si>
    <t>Property Address:</t>
  </si>
  <si>
    <t>6925 Shallowford Rd, Chattanooga, TN  37421</t>
  </si>
  <si>
    <t>Google Map Link:</t>
  </si>
  <si>
    <t>https://goo.gl/maps/t3ddtuQhyy6eXFC97</t>
  </si>
  <si>
    <t>Listing Link:</t>
  </si>
  <si>
    <t>https://www.crexi.com/properties/325971/tennessee-foundation-plaza-78054sf-officeretail</t>
  </si>
  <si>
    <t>Days on Market:</t>
  </si>
  <si>
    <t>a lot</t>
  </si>
  <si>
    <t>At PSA</t>
  </si>
  <si>
    <t>At Close</t>
  </si>
  <si>
    <t>90% occupied at current market rate</t>
  </si>
  <si>
    <t>Purchase Price</t>
  </si>
  <si>
    <t xml:space="preserve">Down payment %  </t>
  </si>
  <si>
    <t>Down Payment $</t>
  </si>
  <si>
    <t>Loan Amount</t>
  </si>
  <si>
    <t>Annual Interest Rate</t>
  </si>
  <si>
    <t>Years</t>
  </si>
  <si>
    <t>Annual Payment</t>
  </si>
  <si>
    <t>Monthly Payment</t>
  </si>
  <si>
    <t>Total Sq ft</t>
  </si>
  <si>
    <t>Price per ft</t>
  </si>
  <si>
    <t>Annual Income</t>
  </si>
  <si>
    <t>Current</t>
  </si>
  <si>
    <t>Tenant 1</t>
  </si>
  <si>
    <t>63,000 sq ft @ $13.5</t>
  </si>
  <si>
    <t>Tenant 2</t>
  </si>
  <si>
    <t>Tenant 3</t>
  </si>
  <si>
    <t>Tenant 4</t>
  </si>
  <si>
    <t>Tenant 5</t>
  </si>
  <si>
    <t>Tenant 6</t>
  </si>
  <si>
    <t>Tenant 7</t>
  </si>
  <si>
    <t>Tenant 8</t>
  </si>
  <si>
    <t>Tenant 9</t>
  </si>
  <si>
    <t xml:space="preserve">  </t>
  </si>
  <si>
    <t>Tenant 10</t>
  </si>
  <si>
    <t>Other Income</t>
  </si>
  <si>
    <t>Other Revenue</t>
  </si>
  <si>
    <t>Storage</t>
  </si>
  <si>
    <t>CAM/Tax Reimbursements</t>
  </si>
  <si>
    <t>Total Revenue</t>
  </si>
  <si>
    <t>Expenses</t>
  </si>
  <si>
    <t>Taxes</t>
  </si>
  <si>
    <t>Insurance</t>
  </si>
  <si>
    <t>Vacancy</t>
  </si>
  <si>
    <t>Repairs</t>
  </si>
  <si>
    <t>CapEx</t>
  </si>
  <si>
    <t>Landscape &amp; Misc</t>
  </si>
  <si>
    <t>Snow</t>
  </si>
  <si>
    <t>Trash</t>
  </si>
  <si>
    <t>Professional Fees</t>
  </si>
  <si>
    <t>Management</t>
  </si>
  <si>
    <t>Gas/Electric</t>
  </si>
  <si>
    <t>Water &amp; Sewer</t>
  </si>
  <si>
    <t>Cleaning/Janitorial</t>
  </si>
  <si>
    <t>Legal</t>
  </si>
  <si>
    <t>Security</t>
  </si>
  <si>
    <t>Total</t>
  </si>
  <si>
    <t>Year over Year Population Growth</t>
  </si>
  <si>
    <t>NOI</t>
  </si>
  <si>
    <t>DSCR</t>
  </si>
  <si>
    <t>Cash Flow after Debt Svc</t>
  </si>
  <si>
    <t>COC</t>
  </si>
  <si>
    <t>Cap Rate</t>
  </si>
  <si>
    <t>Current Gross Revenue</t>
  </si>
  <si>
    <t xml:space="preserve">Current annual premium is $17,500 per seller </t>
  </si>
  <si>
    <t>management 2%</t>
  </si>
  <si>
    <t>Managed by Jonathan Clark, lives locally</t>
  </si>
  <si>
    <t>Repairs/maintenance</t>
  </si>
  <si>
    <t>Utilities</t>
  </si>
  <si>
    <t>Misc</t>
  </si>
  <si>
    <t>Grounds</t>
  </si>
  <si>
    <t>Total Expenses</t>
  </si>
  <si>
    <t>Year 1</t>
  </si>
  <si>
    <t>Year 2</t>
  </si>
  <si>
    <t>Lease Expires</t>
  </si>
  <si>
    <t>Existing Lease Verbiage</t>
  </si>
  <si>
    <t>Insurance Chargeback</t>
  </si>
  <si>
    <t>Water &amp; Dumpster</t>
  </si>
  <si>
    <t>Tax</t>
  </si>
  <si>
    <t>Pro-rated water and dumpster can be billed back</t>
  </si>
  <si>
    <t>Pro-rated portion of increases above 2016 costs</t>
  </si>
  <si>
    <t>103-104</t>
  </si>
  <si>
    <t>Shefa Hair Salon</t>
  </si>
  <si>
    <t>107-109</t>
  </si>
  <si>
    <t>Restaurant / Bar</t>
  </si>
  <si>
    <t>Included in Rental Tab</t>
  </si>
  <si>
    <t>Pro-rated portion above 2018 tax level and increase of insurance after first year</t>
  </si>
  <si>
    <t>Church group</t>
  </si>
  <si>
    <t>Rox Luxury Studios</t>
  </si>
  <si>
    <t>NA</t>
  </si>
  <si>
    <t>Total Insurance Chargeback</t>
  </si>
  <si>
    <t>Year 1 total</t>
  </si>
  <si>
    <t>Year 2 total</t>
  </si>
  <si>
    <t>Insurance Costs</t>
  </si>
  <si>
    <t>City Taxes</t>
  </si>
  <si>
    <t>County Taxes</t>
  </si>
  <si>
    <t>Annual Rent/SF NNN</t>
  </si>
  <si>
    <t>Looking for restaurant tenant</t>
  </si>
  <si>
    <t>6,519 SF</t>
  </si>
  <si>
    <t>1,400 SF</t>
  </si>
  <si>
    <t>Old Pizza Hut Office, ready to lease</t>
  </si>
  <si>
    <t>Jonathan Clark</t>
  </si>
  <si>
    <t>some paneling, old carpet, 2 heat pumps units, missing a few ceiling tiles</t>
  </si>
  <si>
    <t>Needs T-grid and ceiling, flooring</t>
  </si>
  <si>
    <t>Needs ceiling tiles and flooring</t>
  </si>
  <si>
    <t>Salon</t>
  </si>
  <si>
    <t>Needs ceiling tiles, flooring, paint and some bathroom updates</t>
  </si>
  <si>
    <t>68,004 SF</t>
  </si>
  <si>
    <t>Annual</t>
  </si>
  <si>
    <t>Monthly</t>
  </si>
  <si>
    <t>Cash to Start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</si>
  <si>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</si>
  <si>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</si>
  <si>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</si>
  <si>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</si>
  <si>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</si>
  <si>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</si>
  <si>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</si>
  <si>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</si>
  <si>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</si>
  <si>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</si>
  <si>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</si>
  <si>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</si>
  <si>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Rent</t>
  </si>
  <si>
    <t>Cams</t>
  </si>
  <si>
    <t>Total Income</t>
  </si>
  <si>
    <t>Risk of increase</t>
  </si>
  <si>
    <t>Mortgage</t>
  </si>
  <si>
    <t>Capex</t>
  </si>
  <si>
    <t>Monthly Cashflow</t>
  </si>
  <si>
    <t>Balance</t>
  </si>
  <si>
    <t>Investor $</t>
  </si>
  <si>
    <t>8%  Paid Quarterly</t>
  </si>
  <si>
    <t>Year 4/5</t>
  </si>
  <si>
    <t>Exit at 9 CAP for $8M</t>
  </si>
  <si>
    <t>65/35 split</t>
  </si>
  <si>
    <t>Sale price</t>
  </si>
  <si>
    <t>Proceeds</t>
  </si>
  <si>
    <t>General Partners</t>
  </si>
  <si>
    <t>Limited Partners</t>
  </si>
  <si>
    <t>IRR</t>
  </si>
  <si>
    <t>Big Increase in Taxes</t>
  </si>
  <si>
    <t>Exit at 10 CAP for $7M</t>
  </si>
  <si>
    <t>90% occupied at discounted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</si>
</sst>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  <numFmt numFmtId="166" formatCode="&quot;$&quot;#,##0.00"/>
    <numFmt numFmtId="167" formatCode="0.0"/>
    <numFmt numFmtId="168" formatCode="0.0%"/>
  </numFmts>
  <fonts count="21">
    <font>
      <sz val="11"/>
      <color theme="1"/>
      <name val="Calibri"/>
      <scheme val="minor"/>
    </font>
    <font>
      <b/>
      <sz val="12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b/>
      <sz val="14"/>
      <color rgb="FFFFFFFF"/>
      <name val="Calibri"/>
    </font>
    <font>
      <b/>
      <u/>
      <sz val="10"/>
      <color theme="1"/>
      <name val="Arial"/>
    </font>
    <font>
      <sz val="10"/>
      <color rgb="FF000000"/>
      <name val="Calibri"/>
    </font>
    <font>
      <b/>
      <sz val="10"/>
      <color rgb="FF002060"/>
      <name val="Arial"/>
    </font>
    <font>
      <b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sz val="10"/>
      <color theme="1"/>
      <name val="Calibri"/>
    </font>
    <font>
      <b/>
      <sz val="10"/>
      <color rgb="FF000000"/>
      <name val="Calibri"/>
    </font>
    <font>
      <b/>
      <u/>
      <sz val="10"/>
      <color theme="1"/>
      <name val="Arial"/>
    </font>
    <font>
      <sz val="11"/>
      <color rgb="FF0000FF"/>
      <name val="Calibri"/>
    </font>
    <font>
      <sz val="11"/>
      <color rgb="FFFF0000"/>
      <name val="Calibri"/>
    </font>
    <font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2EFD9"/>
        <bgColor rgb="FFE2EFD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9" fontId="3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0" xfId="0" applyFont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9" fontId="3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9" fontId="5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3" fillId="2" borderId="8" xfId="0" applyFont="1" applyFill="1" applyBorder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14" fontId="3" fillId="0" borderId="9" xfId="0" applyNumberFormat="1" applyFont="1" applyBorder="1" applyAlignment="1">
      <alignment horizontal="right" wrapText="1"/>
    </xf>
    <xf numFmtId="0" fontId="3" fillId="0" borderId="9" xfId="0" applyFont="1" applyBorder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/>
    <xf numFmtId="0" fontId="11" fillId="4" borderId="1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left"/>
    </xf>
    <xf numFmtId="0" fontId="10" fillId="0" borderId="1" xfId="0" applyFont="1" applyBorder="1"/>
    <xf numFmtId="164" fontId="13" fillId="4" borderId="1" xfId="0" applyNumberFormat="1" applyFont="1" applyFill="1" applyBorder="1"/>
    <xf numFmtId="9" fontId="13" fillId="4" borderId="1" xfId="0" applyNumberFormat="1" applyFont="1" applyFill="1" applyBorder="1"/>
    <xf numFmtId="164" fontId="13" fillId="0" borderId="1" xfId="0" applyNumberFormat="1" applyFont="1" applyBorder="1"/>
    <xf numFmtId="0" fontId="14" fillId="0" borderId="0" xfId="0" applyFont="1"/>
    <xf numFmtId="10" fontId="13" fillId="4" borderId="1" xfId="0" applyNumberFormat="1" applyFont="1" applyFill="1" applyBorder="1"/>
    <xf numFmtId="0" fontId="13" fillId="4" borderId="1" xfId="0" applyFont="1" applyFill="1" applyBorder="1"/>
    <xf numFmtId="44" fontId="13" fillId="5" borderId="1" xfId="0" applyNumberFormat="1" applyFont="1" applyFill="1" applyBorder="1"/>
    <xf numFmtId="4" fontId="13" fillId="4" borderId="1" xfId="0" applyNumberFormat="1" applyFont="1" applyFill="1" applyBorder="1"/>
    <xf numFmtId="44" fontId="10" fillId="0" borderId="1" xfId="0" applyNumberFormat="1" applyFont="1" applyBorder="1"/>
    <xf numFmtId="0" fontId="1" fillId="0" borderId="0" xfId="0" applyFont="1" applyAlignment="1">
      <alignment horizontal="center"/>
    </xf>
    <xf numFmtId="0" fontId="15" fillId="0" borderId="0" xfId="0" applyFont="1"/>
    <xf numFmtId="44" fontId="14" fillId="0" borderId="0" xfId="0" applyNumberFormat="1" applyFont="1"/>
    <xf numFmtId="166" fontId="15" fillId="0" borderId="0" xfId="0" applyNumberFormat="1" applyFont="1"/>
    <xf numFmtId="6" fontId="14" fillId="0" borderId="0" xfId="0" applyNumberFormat="1" applyFont="1"/>
    <xf numFmtId="0" fontId="10" fillId="0" borderId="0" xfId="0" applyFont="1" applyAlignment="1">
      <alignment horizontal="center"/>
    </xf>
    <xf numFmtId="44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15" fillId="0" borderId="0" xfId="0" applyNumberFormat="1" applyFont="1"/>
    <xf numFmtId="164" fontId="15" fillId="0" borderId="0" xfId="0" applyNumberFormat="1" applyFont="1"/>
    <xf numFmtId="0" fontId="1" fillId="0" borderId="0" xfId="0" applyFont="1" applyAlignment="1">
      <alignment horizontal="left"/>
    </xf>
    <xf numFmtId="164" fontId="14" fillId="0" borderId="0" xfId="0" applyNumberFormat="1" applyFont="1"/>
    <xf numFmtId="0" fontId="1" fillId="0" borderId="0" xfId="0" applyFont="1"/>
    <xf numFmtId="164" fontId="8" fillId="0" borderId="0" xfId="0" applyNumberFormat="1" applyFont="1"/>
    <xf numFmtId="164" fontId="3" fillId="0" borderId="0" xfId="0" applyNumberFormat="1" applyFont="1"/>
    <xf numFmtId="0" fontId="16" fillId="0" borderId="0" xfId="0" applyFont="1"/>
    <xf numFmtId="0" fontId="10" fillId="0" borderId="0" xfId="0" applyFont="1"/>
    <xf numFmtId="164" fontId="10" fillId="5" borderId="8" xfId="0" applyNumberFormat="1" applyFont="1" applyFill="1" applyBorder="1"/>
    <xf numFmtId="165" fontId="10" fillId="0" borderId="0" xfId="0" applyNumberFormat="1" applyFont="1"/>
    <xf numFmtId="167" fontId="10" fillId="0" borderId="0" xfId="0" applyNumberFormat="1" applyFont="1" applyAlignment="1">
      <alignment horizontal="right"/>
    </xf>
    <xf numFmtId="167" fontId="10" fillId="0" borderId="0" xfId="0" applyNumberFormat="1" applyFont="1"/>
    <xf numFmtId="44" fontId="10" fillId="0" borderId="0" xfId="0" applyNumberFormat="1" applyFont="1"/>
    <xf numFmtId="0" fontId="10" fillId="0" borderId="9" xfId="0" applyFont="1" applyBorder="1"/>
    <xf numFmtId="168" fontId="10" fillId="0" borderId="9" xfId="0" applyNumberFormat="1" applyFont="1" applyBorder="1"/>
    <xf numFmtId="10" fontId="14" fillId="0" borderId="0" xfId="0" applyNumberFormat="1" applyFont="1"/>
    <xf numFmtId="0" fontId="1" fillId="0" borderId="0" xfId="0" applyFont="1" applyAlignment="1">
      <alignment horizontal="right"/>
    </xf>
    <xf numFmtId="9" fontId="14" fillId="0" borderId="0" xfId="0" applyNumberFormat="1" applyFont="1"/>
    <xf numFmtId="0" fontId="10" fillId="0" borderId="0" xfId="0" applyFont="1" applyAlignment="1">
      <alignment horizontal="left"/>
    </xf>
    <xf numFmtId="0" fontId="3" fillId="0" borderId="0" xfId="0" applyFont="1"/>
    <xf numFmtId="0" fontId="17" fillId="0" borderId="0" xfId="0" applyFont="1" applyAlignment="1">
      <alignment horizontal="left"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right" wrapText="1"/>
    </xf>
    <xf numFmtId="6" fontId="3" fillId="0" borderId="0" xfId="0" applyNumberFormat="1" applyFont="1" applyAlignment="1">
      <alignment horizontal="right" wrapText="1"/>
    </xf>
    <xf numFmtId="6" fontId="3" fillId="0" borderId="0" xfId="0" applyNumberFormat="1" applyFont="1"/>
    <xf numFmtId="1" fontId="3" fillId="2" borderId="8" xfId="0" applyNumberFormat="1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14" fontId="3" fillId="0" borderId="0" xfId="0" applyNumberFormat="1" applyFont="1" applyAlignment="1">
      <alignment horizontal="left" wrapText="1"/>
    </xf>
    <xf numFmtId="4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0" fontId="3" fillId="2" borderId="8" xfId="0" applyFont="1" applyFill="1" applyBorder="1" applyAlignment="1">
      <alignment wrapText="1"/>
    </xf>
    <xf numFmtId="0" fontId="18" fillId="0" borderId="0" xfId="0" applyFont="1" applyAlignment="1">
      <alignment wrapText="1"/>
    </xf>
    <xf numFmtId="10" fontId="3" fillId="0" borderId="0" xfId="0" applyNumberFormat="1" applyFont="1" applyAlignment="1">
      <alignment wrapText="1"/>
    </xf>
    <xf numFmtId="8" fontId="3" fillId="0" borderId="0" xfId="0" applyNumberFormat="1" applyFont="1" applyAlignment="1">
      <alignment wrapText="1"/>
    </xf>
    <xf numFmtId="6" fontId="18" fillId="0" borderId="0" xfId="0" applyNumberFormat="1" applyFont="1" applyAlignment="1">
      <alignment wrapText="1"/>
    </xf>
    <xf numFmtId="0" fontId="18" fillId="6" borderId="8" xfId="0" applyFont="1" applyFill="1" applyBorder="1" applyAlignment="1">
      <alignment wrapText="1"/>
    </xf>
    <xf numFmtId="0" fontId="3" fillId="7" borderId="8" xfId="0" applyFont="1" applyFill="1" applyBorder="1" applyAlignment="1">
      <alignment wrapText="1"/>
    </xf>
    <xf numFmtId="6" fontId="19" fillId="4" borderId="8" xfId="0" applyNumberFormat="1" applyFont="1" applyFill="1" applyBorder="1" applyAlignment="1">
      <alignment wrapText="1"/>
    </xf>
    <xf numFmtId="6" fontId="18" fillId="6" borderId="8" xfId="0" applyNumberFormat="1" applyFont="1" applyFill="1" applyBorder="1" applyAlignment="1">
      <alignment wrapText="1"/>
    </xf>
    <xf numFmtId="0" fontId="18" fillId="7" borderId="8" xfId="0" applyFont="1" applyFill="1" applyBorder="1" applyAlignment="1">
      <alignment wrapText="1"/>
    </xf>
    <xf numFmtId="6" fontId="3" fillId="7" borderId="8" xfId="0" applyNumberFormat="1" applyFont="1" applyFill="1" applyBorder="1" applyAlignment="1">
      <alignment wrapText="1"/>
    </xf>
    <xf numFmtId="6" fontId="18" fillId="7" borderId="8" xfId="0" applyNumberFormat="1" applyFont="1" applyFill="1" applyBorder="1" applyAlignment="1">
      <alignment wrapText="1"/>
    </xf>
    <xf numFmtId="10" fontId="3" fillId="6" borderId="8" xfId="0" applyNumberFormat="1" applyFont="1" applyFill="1" applyBorder="1" applyAlignment="1">
      <alignment wrapText="1"/>
    </xf>
    <xf numFmtId="8" fontId="3" fillId="6" borderId="8" xfId="0" applyNumberFormat="1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6" fontId="3" fillId="6" borderId="8" xfId="0" applyNumberFormat="1" applyFont="1" applyFill="1" applyBorder="1" applyAlignment="1">
      <alignment wrapText="1"/>
    </xf>
    <xf numFmtId="9" fontId="3" fillId="0" borderId="0" xfId="0" applyNumberFormat="1" applyFont="1" applyAlignment="1">
      <alignment wrapText="1"/>
    </xf>
    <xf numFmtId="6" fontId="3" fillId="0" borderId="0" xfId="0" applyNumberFormat="1" applyFont="1" applyAlignment="1">
      <alignment wrapText="1"/>
    </xf>
    <xf numFmtId="44" fontId="3" fillId="0" borderId="0" xfId="0" applyNumberFormat="1" applyFont="1" applyAlignment="1">
      <alignment wrapText="1"/>
    </xf>
    <xf numFmtId="164" fontId="3" fillId="8" borderId="8" xfId="0" applyNumberFormat="1" applyFont="1" applyFill="1" applyBorder="1"/>
    <xf numFmtId="164" fontId="3" fillId="9" borderId="8" xfId="0" applyNumberFormat="1" applyFont="1" applyFill="1" applyBorder="1"/>
    <xf numFmtId="168" fontId="3" fillId="0" borderId="0" xfId="0" applyNumberFormat="1" applyFont="1"/>
    <xf numFmtId="0" fontId="3" fillId="4" borderId="8" xfId="0" applyFont="1" applyFill="1" applyBorder="1"/>
    <xf numFmtId="164" fontId="3" fillId="4" borderId="8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1" fontId="3" fillId="0" borderId="3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0" fontId="10" fillId="0" borderId="9" xfId="0" applyFont="1" applyBorder="1" applyAlignment="1">
      <alignment horizontal="center"/>
    </xf>
    <xf numFmtId="0" fontId="2" fillId="0" borderId="9" xfId="0" applyFont="1" applyBorder="1"/>
    <xf numFmtId="0" fontId="3" fillId="2" borderId="5" xfId="0" applyFont="1" applyFill="1" applyBorder="1" applyAlignment="1">
      <alignment horizontal="center" wrapText="1"/>
    </xf>
    <xf numFmtId="164" fontId="20" fillId="0" borderId="0" xfId="0" applyNumberFormat="1" applyFont="1"/>
    <xf numFmtId="9" fontId="14" fillId="0" borderId="11" xfId="0" applyNumberFormat="1" applyFont="1" applyBorder="1"/>
    <xf numFmtId="44" fontId="14" fillId="0" borderId="12" xfId="0" applyNumberFormat="1" applyFont="1" applyBorder="1"/>
    <xf numFmtId="9" fontId="14" fillId="0" borderId="13" xfId="0" applyNumberFormat="1" applyFont="1" applyBorder="1"/>
    <xf numFmtId="44" fontId="1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9850" cy="5905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66675</xdr:rowOff>
    </xdr:from>
    <xdr:ext cx="2609850" cy="5905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/>
  </sheetViews>
  <sheetFormatPr defaultColWidth="14.42578125" defaultRowHeight="15" customHeight="1"/>
  <cols>
    <col min="1" max="1" width="8.7109375" customWidth="1"/>
    <col min="2" max="2" width="23.28515625" customWidth="1"/>
    <col min="3" max="3" width="27.5703125" customWidth="1"/>
    <col min="4" max="5" width="8.7109375" customWidth="1"/>
    <col min="6" max="6" width="13.28515625" customWidth="1"/>
    <col min="7" max="7" width="31.140625" customWidth="1"/>
    <col min="8" max="26" width="8.7109375" customWidth="1"/>
  </cols>
  <sheetData>
    <row r="1" spans="1:1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1" ht="14.25" customHeight="1">
      <c r="A2" s="115" t="s">
        <v>7</v>
      </c>
      <c r="B2" s="116"/>
      <c r="C2" s="116"/>
      <c r="D2" s="116"/>
      <c r="E2" s="116"/>
      <c r="F2" s="116"/>
      <c r="G2" s="117"/>
    </row>
    <row r="3" spans="1:11" ht="14.25" customHeight="1">
      <c r="A3" s="2">
        <v>112</v>
      </c>
      <c r="B3" s="2" t="s">
        <v>8</v>
      </c>
      <c r="C3" s="2" t="s">
        <v>9</v>
      </c>
      <c r="D3" s="2">
        <v>1240</v>
      </c>
      <c r="E3" s="3">
        <v>1.8599999999999998E-2</v>
      </c>
      <c r="F3" s="4">
        <f t="shared" ref="F3:F10" si="0">G3/D3</f>
        <v>15.996774193548386</v>
      </c>
      <c r="G3" s="5">
        <v>19836</v>
      </c>
    </row>
    <row r="4" spans="1:11" ht="14.25" customHeight="1">
      <c r="A4" s="2">
        <v>115</v>
      </c>
      <c r="B4" s="2" t="s">
        <v>10</v>
      </c>
      <c r="C4" s="2" t="s">
        <v>11</v>
      </c>
      <c r="D4" s="2">
        <v>1319</v>
      </c>
      <c r="E4" s="3">
        <v>1.9800000000000002E-2</v>
      </c>
      <c r="F4" s="4">
        <f t="shared" si="0"/>
        <v>15.011372251705838</v>
      </c>
      <c r="G4" s="5">
        <v>19800</v>
      </c>
    </row>
    <row r="5" spans="1:11" ht="14.25" customHeight="1">
      <c r="A5" s="2">
        <v>212</v>
      </c>
      <c r="B5" s="2" t="s">
        <v>12</v>
      </c>
      <c r="C5" s="2" t="s">
        <v>13</v>
      </c>
      <c r="D5" s="2">
        <v>1234</v>
      </c>
      <c r="E5" s="3">
        <v>1.8700000000000001E-2</v>
      </c>
      <c r="F5" s="4">
        <f t="shared" si="0"/>
        <v>11.66936790923825</v>
      </c>
      <c r="G5" s="5">
        <v>14400</v>
      </c>
    </row>
    <row r="6" spans="1:11" ht="14.25" customHeight="1">
      <c r="A6" s="2">
        <v>213</v>
      </c>
      <c r="B6" s="2" t="s">
        <v>14</v>
      </c>
      <c r="C6" s="2" t="s">
        <v>15</v>
      </c>
      <c r="D6" s="2">
        <v>1240</v>
      </c>
      <c r="E6" s="3">
        <v>1.8599999999999998E-2</v>
      </c>
      <c r="F6" s="4">
        <f t="shared" si="0"/>
        <v>10.64516129032258</v>
      </c>
      <c r="G6" s="5">
        <v>13200</v>
      </c>
      <c r="K6" s="6">
        <f>SUM(D3:D11)</f>
        <v>14154</v>
      </c>
    </row>
    <row r="7" spans="1:11" ht="14.25" customHeight="1">
      <c r="A7" s="2" t="s">
        <v>16</v>
      </c>
      <c r="B7" s="2" t="s">
        <v>17</v>
      </c>
      <c r="C7" s="2" t="s">
        <v>18</v>
      </c>
      <c r="D7" s="2">
        <v>1828</v>
      </c>
      <c r="E7" s="3">
        <v>2.7400000000000001E-2</v>
      </c>
      <c r="F7" s="4">
        <f t="shared" si="0"/>
        <v>10.719912472647703</v>
      </c>
      <c r="G7" s="5">
        <v>19596</v>
      </c>
    </row>
    <row r="8" spans="1:11" ht="14.25" customHeight="1">
      <c r="A8" s="2">
        <v>301</v>
      </c>
      <c r="B8" s="2" t="s">
        <v>19</v>
      </c>
      <c r="C8" s="2" t="s">
        <v>20</v>
      </c>
      <c r="D8" s="2">
        <v>1794</v>
      </c>
      <c r="E8" s="3">
        <v>2.69E-2</v>
      </c>
      <c r="F8" s="4">
        <f t="shared" si="0"/>
        <v>9.3645484949832785</v>
      </c>
      <c r="G8" s="5">
        <v>16800</v>
      </c>
    </row>
    <row r="9" spans="1:11" ht="14.25" customHeight="1">
      <c r="A9" s="2">
        <v>305</v>
      </c>
      <c r="B9" s="2" t="s">
        <v>21</v>
      </c>
      <c r="C9" s="2" t="s">
        <v>22</v>
      </c>
      <c r="D9" s="2">
        <v>1133</v>
      </c>
      <c r="E9" s="3">
        <v>1.7000000000000001E-2</v>
      </c>
      <c r="F9" s="4">
        <f t="shared" si="0"/>
        <v>17.295675198587819</v>
      </c>
      <c r="G9" s="5">
        <v>19596</v>
      </c>
    </row>
    <row r="10" spans="1:11" ht="14.25" customHeight="1">
      <c r="A10" s="2">
        <v>308</v>
      </c>
      <c r="B10" s="2" t="s">
        <v>23</v>
      </c>
      <c r="C10" s="2" t="s">
        <v>24</v>
      </c>
      <c r="D10" s="2">
        <v>1566</v>
      </c>
      <c r="E10" s="3">
        <f>D10/66000</f>
        <v>2.3727272727272729E-2</v>
      </c>
      <c r="F10" s="4">
        <f t="shared" si="0"/>
        <v>8.773946360153257</v>
      </c>
      <c r="G10" s="5">
        <v>13740</v>
      </c>
    </row>
    <row r="11" spans="1:11" ht="14.25" customHeight="1">
      <c r="A11" s="2">
        <v>330</v>
      </c>
      <c r="B11" s="2" t="s">
        <v>19</v>
      </c>
      <c r="C11" s="2" t="s">
        <v>20</v>
      </c>
      <c r="D11" s="2">
        <v>2800</v>
      </c>
      <c r="E11" s="3">
        <f>2800/66000</f>
        <v>4.2424242424242427E-2</v>
      </c>
      <c r="F11" s="4">
        <v>10</v>
      </c>
      <c r="G11" s="5">
        <v>28000</v>
      </c>
    </row>
    <row r="12" spans="1:11" ht="14.25" customHeight="1">
      <c r="A12" s="2" t="s">
        <v>25</v>
      </c>
      <c r="B12" s="2" t="s">
        <v>26</v>
      </c>
      <c r="C12" s="2" t="s">
        <v>27</v>
      </c>
      <c r="D12" s="2"/>
      <c r="E12" s="2"/>
      <c r="F12" s="2"/>
      <c r="G12" s="5">
        <v>10200</v>
      </c>
    </row>
    <row r="13" spans="1:11" ht="28.5" customHeight="1">
      <c r="A13" s="7"/>
      <c r="B13" s="8"/>
      <c r="C13" s="8"/>
      <c r="D13" s="8"/>
      <c r="E13" s="9">
        <f>SUM(E3:E12)</f>
        <v>0.21315151515151518</v>
      </c>
      <c r="F13" s="118" t="s">
        <v>28</v>
      </c>
      <c r="G13" s="117"/>
    </row>
    <row r="14" spans="1:11" ht="14.25" customHeight="1">
      <c r="A14" s="119" t="s">
        <v>29</v>
      </c>
      <c r="B14" s="116"/>
      <c r="C14" s="116"/>
      <c r="D14" s="116"/>
      <c r="E14" s="116"/>
      <c r="F14" s="116"/>
      <c r="G14" s="117"/>
    </row>
    <row r="15" spans="1:11" ht="14.25" customHeight="1">
      <c r="A15" s="2">
        <v>215</v>
      </c>
      <c r="B15" s="2" t="s">
        <v>30</v>
      </c>
      <c r="C15" s="2" t="s">
        <v>31</v>
      </c>
      <c r="D15" s="2">
        <v>1828</v>
      </c>
      <c r="E15" s="3">
        <f t="shared" ref="E15:E17" si="1">D15/66000</f>
        <v>2.7696969696969696E-2</v>
      </c>
      <c r="F15" s="4">
        <v>10</v>
      </c>
      <c r="G15" s="5">
        <f>18180-14400</f>
        <v>3780</v>
      </c>
      <c r="H15" s="6" t="s">
        <v>32</v>
      </c>
    </row>
    <row r="16" spans="1:11" ht="14.25" customHeight="1">
      <c r="A16" s="10" t="s">
        <v>33</v>
      </c>
      <c r="B16" s="10" t="s">
        <v>34</v>
      </c>
      <c r="C16" s="10" t="s">
        <v>35</v>
      </c>
      <c r="D16" s="10">
        <v>7000</v>
      </c>
      <c r="E16" s="3">
        <f t="shared" si="1"/>
        <v>0.10606060606060606</v>
      </c>
      <c r="F16" s="11">
        <v>16</v>
      </c>
      <c r="G16" s="12">
        <f>120800-75000</f>
        <v>45800</v>
      </c>
      <c r="H16" s="6" t="s">
        <v>32</v>
      </c>
    </row>
    <row r="17" spans="1:8" ht="14.25" customHeight="1">
      <c r="A17" s="6">
        <v>113</v>
      </c>
      <c r="B17" s="10" t="s">
        <v>36</v>
      </c>
      <c r="C17" s="10" t="s">
        <v>37</v>
      </c>
      <c r="D17" s="6">
        <v>2014</v>
      </c>
      <c r="E17" s="3">
        <f t="shared" si="1"/>
        <v>3.0515151515151516E-2</v>
      </c>
      <c r="F17" s="6">
        <v>10</v>
      </c>
      <c r="G17" s="6">
        <f>20140-14400</f>
        <v>5740</v>
      </c>
      <c r="H17" s="6" t="s">
        <v>32</v>
      </c>
    </row>
    <row r="18" spans="1:8" ht="14.25" customHeight="1">
      <c r="A18" s="10"/>
      <c r="B18" s="10"/>
      <c r="C18" s="10"/>
      <c r="D18" s="10"/>
      <c r="E18" s="13"/>
      <c r="F18" s="14"/>
      <c r="G18" s="15">
        <f>SUM(G3:G12)+G15+G16+G17</f>
        <v>230488</v>
      </c>
    </row>
    <row r="19" spans="1:8" ht="14.25" customHeight="1"/>
    <row r="20" spans="1:8" ht="14.25" customHeight="1"/>
    <row r="21" spans="1:8" ht="14.25" customHeight="1"/>
    <row r="22" spans="1:8" ht="14.25" customHeight="1"/>
    <row r="23" spans="1:8" ht="14.25" customHeight="1"/>
    <row r="24" spans="1:8" ht="14.25" customHeight="1"/>
    <row r="25" spans="1:8" ht="14.25" customHeight="1"/>
    <row r="26" spans="1:8" ht="14.25" customHeight="1"/>
    <row r="27" spans="1:8" ht="14.25" customHeight="1"/>
    <row r="28" spans="1:8" ht="14.25" customHeight="1"/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G2"/>
    <mergeCell ref="F13:G13"/>
    <mergeCell ref="A14:G1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O1000"/>
  <sheetViews>
    <sheetView workbookViewId="0"/>
  </sheetViews>
  <sheetFormatPr defaultColWidth="14.42578125" defaultRowHeight="15" customHeight="1"/>
  <cols>
    <col min="1" max="1" width="19.85546875" customWidth="1"/>
    <col min="2" max="2" width="13.85546875" customWidth="1"/>
    <col min="3" max="5" width="11.85546875" customWidth="1"/>
    <col min="6" max="6" width="13.28515625" customWidth="1"/>
    <col min="7" max="7" width="12.140625" customWidth="1"/>
    <col min="8" max="9" width="8.85546875" customWidth="1"/>
    <col min="10" max="10" width="12" customWidth="1"/>
    <col min="11" max="12" width="8.85546875" customWidth="1"/>
    <col min="13" max="13" width="12.85546875" customWidth="1"/>
    <col min="14" max="15" width="8.7109375" customWidth="1"/>
    <col min="16" max="16" width="11.5703125" customWidth="1"/>
    <col min="17" max="20" width="9.28515625" customWidth="1"/>
    <col min="21" max="21" width="9.85546875" customWidth="1"/>
    <col min="22" max="22" width="11.140625" customWidth="1"/>
    <col min="23" max="23" width="11" customWidth="1"/>
    <col min="24" max="24" width="11.5703125" customWidth="1"/>
    <col min="25" max="25" width="11.140625" customWidth="1"/>
    <col min="26" max="26" width="11.7109375" customWidth="1"/>
    <col min="27" max="27" width="11.140625" customWidth="1"/>
    <col min="28" max="28" width="8.7109375" customWidth="1"/>
    <col min="29" max="29" width="11.42578125" customWidth="1"/>
    <col min="30" max="39" width="9.28515625" customWidth="1"/>
    <col min="40" max="40" width="15" customWidth="1"/>
    <col min="41" max="41" width="9.28515625" customWidth="1"/>
  </cols>
  <sheetData>
    <row r="1" spans="1:41" ht="14.25" customHeight="1">
      <c r="A1" s="6" t="s">
        <v>248</v>
      </c>
      <c r="B1" s="113">
        <v>400000</v>
      </c>
    </row>
    <row r="2" spans="1:41" ht="14.25" customHeight="1">
      <c r="B2" s="6" t="s">
        <v>210</v>
      </c>
      <c r="P2" s="6" t="s">
        <v>211</v>
      </c>
      <c r="AD2" s="6" t="s">
        <v>211</v>
      </c>
    </row>
    <row r="3" spans="1:41" ht="14.25" customHeight="1">
      <c r="B3" s="6" t="s">
        <v>249</v>
      </c>
      <c r="C3" s="6" t="s">
        <v>250</v>
      </c>
      <c r="D3" s="6" t="s">
        <v>251</v>
      </c>
      <c r="E3" s="6" t="s">
        <v>252</v>
      </c>
      <c r="F3" s="6" t="s">
        <v>253</v>
      </c>
      <c r="G3" s="6" t="s">
        <v>254</v>
      </c>
      <c r="H3" s="6" t="s">
        <v>255</v>
      </c>
      <c r="I3" s="6" t="s">
        <v>256</v>
      </c>
      <c r="J3" s="6" t="s">
        <v>257</v>
      </c>
      <c r="K3" s="6" t="s">
        <v>258</v>
      </c>
      <c r="L3" s="6" t="s">
        <v>259</v>
      </c>
      <c r="M3" s="6" t="s">
        <v>260</v>
      </c>
      <c r="P3" s="6" t="s">
        <v>249</v>
      </c>
      <c r="Q3" s="6" t="s">
        <v>250</v>
      </c>
      <c r="R3" s="6" t="s">
        <v>251</v>
      </c>
      <c r="S3" s="6" t="s">
        <v>252</v>
      </c>
      <c r="T3" s="6" t="s">
        <v>253</v>
      </c>
      <c r="U3" s="6" t="s">
        <v>254</v>
      </c>
      <c r="V3" s="6" t="s">
        <v>255</v>
      </c>
      <c r="W3" s="6" t="s">
        <v>256</v>
      </c>
      <c r="X3" s="6" t="s">
        <v>257</v>
      </c>
      <c r="Y3" s="6" t="s">
        <v>258</v>
      </c>
      <c r="Z3" s="6" t="s">
        <v>259</v>
      </c>
      <c r="AA3" s="6" t="s">
        <v>260</v>
      </c>
      <c r="AD3" s="6" t="s">
        <v>249</v>
      </c>
      <c r="AE3" s="6" t="s">
        <v>250</v>
      </c>
      <c r="AF3" s="6" t="s">
        <v>251</v>
      </c>
      <c r="AG3" s="6" t="s">
        <v>252</v>
      </c>
      <c r="AH3" s="6" t="s">
        <v>253</v>
      </c>
      <c r="AI3" s="6" t="s">
        <v>254</v>
      </c>
      <c r="AJ3" s="6" t="s">
        <v>255</v>
      </c>
      <c r="AK3" s="6" t="s">
        <v>256</v>
      </c>
      <c r="AL3" s="6" t="s">
        <v>257</v>
      </c>
      <c r="AM3" s="6" t="s">
        <v>258</v>
      </c>
      <c r="AN3" s="6" t="s">
        <v>259</v>
      </c>
      <c r="AO3" s="6" t="s">
        <v>260</v>
      </c>
    </row>
    <row r="4" spans="1:41" ht="14.25" customHeight="1">
      <c r="A4" s="6" t="s">
        <v>261</v>
      </c>
      <c r="B4" s="61">
        <v>52030</v>
      </c>
      <c r="C4" s="61">
        <f>B4+6*2450/12</f>
        <v>53255</v>
      </c>
      <c r="D4" s="61">
        <f>C4</f>
        <v>53255</v>
      </c>
      <c r="E4" s="114">
        <f>D4+2663*14/12</f>
        <v>56361.833333333336</v>
      </c>
      <c r="F4" s="61">
        <f t="shared" ref="F4:G4" si="0">E4</f>
        <v>56361.833333333336</v>
      </c>
      <c r="G4" s="61">
        <f t="shared" si="0"/>
        <v>56361.833333333336</v>
      </c>
      <c r="H4" s="114">
        <f>G4+2287*14/12</f>
        <v>59030</v>
      </c>
      <c r="I4" s="61">
        <f t="shared" ref="I4:M4" si="1">H4</f>
        <v>59030</v>
      </c>
      <c r="J4" s="61">
        <f t="shared" si="1"/>
        <v>59030</v>
      </c>
      <c r="K4" s="61">
        <f t="shared" si="1"/>
        <v>59030</v>
      </c>
      <c r="L4" s="61">
        <f t="shared" si="1"/>
        <v>59030</v>
      </c>
      <c r="M4" s="61">
        <f t="shared" si="1"/>
        <v>59030</v>
      </c>
      <c r="N4" s="61"/>
      <c r="O4" s="6" t="s">
        <v>261</v>
      </c>
      <c r="P4" s="61">
        <f>M4+0.03*B4</f>
        <v>60590.9</v>
      </c>
      <c r="Q4" s="61">
        <f>P4+65000/12</f>
        <v>66007.566666666666</v>
      </c>
      <c r="R4" s="61">
        <f>Q4</f>
        <v>66007.566666666666</v>
      </c>
      <c r="S4" s="61">
        <f>R4+1463*10/12</f>
        <v>67226.733333333337</v>
      </c>
      <c r="T4" s="61">
        <f t="shared" ref="T4:AA4" si="2">S4</f>
        <v>67226.733333333337</v>
      </c>
      <c r="U4" s="61">
        <f t="shared" si="2"/>
        <v>67226.733333333337</v>
      </c>
      <c r="V4" s="61">
        <f t="shared" si="2"/>
        <v>67226.733333333337</v>
      </c>
      <c r="W4" s="61">
        <f t="shared" si="2"/>
        <v>67226.733333333337</v>
      </c>
      <c r="X4" s="61">
        <f t="shared" si="2"/>
        <v>67226.733333333337</v>
      </c>
      <c r="Y4" s="61">
        <f t="shared" si="2"/>
        <v>67226.733333333337</v>
      </c>
      <c r="Z4" s="61">
        <f t="shared" si="2"/>
        <v>67226.733333333337</v>
      </c>
      <c r="AA4" s="61">
        <f t="shared" si="2"/>
        <v>67226.733333333337</v>
      </c>
      <c r="AC4" s="6" t="s">
        <v>261</v>
      </c>
      <c r="AD4" s="61">
        <f>AA4+P4*0.03</f>
        <v>69044.460333333336</v>
      </c>
      <c r="AE4" s="61">
        <f t="shared" ref="AE4:AO4" si="3">AD4</f>
        <v>69044.460333333336</v>
      </c>
      <c r="AF4" s="61">
        <f t="shared" si="3"/>
        <v>69044.460333333336</v>
      </c>
      <c r="AG4" s="61">
        <f t="shared" si="3"/>
        <v>69044.460333333336</v>
      </c>
      <c r="AH4" s="61">
        <f t="shared" si="3"/>
        <v>69044.460333333336</v>
      </c>
      <c r="AI4" s="61">
        <f t="shared" si="3"/>
        <v>69044.460333333336</v>
      </c>
      <c r="AJ4" s="61">
        <f t="shared" si="3"/>
        <v>69044.460333333336</v>
      </c>
      <c r="AK4" s="61">
        <f t="shared" si="3"/>
        <v>69044.460333333336</v>
      </c>
      <c r="AL4" s="61">
        <f t="shared" si="3"/>
        <v>69044.460333333336</v>
      </c>
      <c r="AM4" s="61">
        <f t="shared" si="3"/>
        <v>69044.460333333336</v>
      </c>
      <c r="AN4" s="61">
        <f t="shared" si="3"/>
        <v>69044.460333333336</v>
      </c>
      <c r="AO4" s="61">
        <f t="shared" si="3"/>
        <v>69044.460333333336</v>
      </c>
    </row>
    <row r="5" spans="1:41" ht="14.25" customHeight="1">
      <c r="A5" s="6" t="s">
        <v>262</v>
      </c>
      <c r="B5" s="61">
        <f t="shared" ref="B5:M5" si="4">6153/12</f>
        <v>512.75</v>
      </c>
      <c r="C5" s="61">
        <f t="shared" si="4"/>
        <v>512.75</v>
      </c>
      <c r="D5" s="61">
        <f t="shared" si="4"/>
        <v>512.75</v>
      </c>
      <c r="E5" s="61">
        <f t="shared" si="4"/>
        <v>512.75</v>
      </c>
      <c r="F5" s="61">
        <f t="shared" si="4"/>
        <v>512.75</v>
      </c>
      <c r="G5" s="61">
        <f t="shared" si="4"/>
        <v>512.75</v>
      </c>
      <c r="H5" s="61">
        <f t="shared" si="4"/>
        <v>512.75</v>
      </c>
      <c r="I5" s="61">
        <f t="shared" si="4"/>
        <v>512.75</v>
      </c>
      <c r="J5" s="61">
        <f t="shared" si="4"/>
        <v>512.75</v>
      </c>
      <c r="K5" s="61">
        <f t="shared" si="4"/>
        <v>512.75</v>
      </c>
      <c r="L5" s="61">
        <f t="shared" si="4"/>
        <v>512.75</v>
      </c>
      <c r="M5" s="61">
        <f t="shared" si="4"/>
        <v>512.75</v>
      </c>
      <c r="N5" s="61"/>
      <c r="O5" s="6" t="s">
        <v>262</v>
      </c>
      <c r="P5" s="61">
        <v>2000</v>
      </c>
      <c r="Q5" s="61">
        <v>2000</v>
      </c>
      <c r="R5" s="61">
        <v>2000</v>
      </c>
      <c r="S5" s="61">
        <v>2000</v>
      </c>
      <c r="T5" s="61">
        <v>2000</v>
      </c>
      <c r="U5" s="61">
        <v>2000</v>
      </c>
      <c r="V5" s="61">
        <v>2000</v>
      </c>
      <c r="W5" s="61">
        <v>2000</v>
      </c>
      <c r="X5" s="61">
        <v>2000</v>
      </c>
      <c r="Y5" s="61">
        <v>2000</v>
      </c>
      <c r="Z5" s="61">
        <v>2000</v>
      </c>
      <c r="AA5" s="61">
        <v>2000</v>
      </c>
      <c r="AC5" s="6" t="s">
        <v>262</v>
      </c>
      <c r="AD5" s="61">
        <v>2000</v>
      </c>
      <c r="AE5" s="61">
        <v>2000</v>
      </c>
      <c r="AF5" s="61">
        <v>2000</v>
      </c>
      <c r="AG5" s="61">
        <v>2000</v>
      </c>
      <c r="AH5" s="61">
        <v>2000</v>
      </c>
      <c r="AI5" s="61">
        <v>2000</v>
      </c>
      <c r="AJ5" s="61">
        <v>2000</v>
      </c>
      <c r="AK5" s="61">
        <v>2000</v>
      </c>
      <c r="AL5" s="61">
        <v>2000</v>
      </c>
      <c r="AM5" s="61">
        <v>2000</v>
      </c>
      <c r="AN5" s="61">
        <v>2000</v>
      </c>
      <c r="AO5" s="61">
        <v>2000</v>
      </c>
    </row>
    <row r="6" spans="1:41" ht="14.25" customHeight="1">
      <c r="A6" s="6" t="s">
        <v>263</v>
      </c>
      <c r="B6" s="61">
        <f t="shared" ref="B6:M6" si="5">SUM(B4:B5)</f>
        <v>52542.75</v>
      </c>
      <c r="C6" s="61">
        <f t="shared" si="5"/>
        <v>53767.75</v>
      </c>
      <c r="D6" s="61">
        <f t="shared" si="5"/>
        <v>53767.75</v>
      </c>
      <c r="E6" s="61">
        <f t="shared" si="5"/>
        <v>56874.583333333336</v>
      </c>
      <c r="F6" s="61">
        <f t="shared" si="5"/>
        <v>56874.583333333336</v>
      </c>
      <c r="G6" s="61">
        <f t="shared" si="5"/>
        <v>56874.583333333336</v>
      </c>
      <c r="H6" s="61">
        <f t="shared" si="5"/>
        <v>59542.75</v>
      </c>
      <c r="I6" s="61">
        <f t="shared" si="5"/>
        <v>59542.75</v>
      </c>
      <c r="J6" s="61">
        <f t="shared" si="5"/>
        <v>59542.75</v>
      </c>
      <c r="K6" s="61">
        <f t="shared" si="5"/>
        <v>59542.75</v>
      </c>
      <c r="L6" s="61">
        <f t="shared" si="5"/>
        <v>59542.75</v>
      </c>
      <c r="M6" s="61">
        <f t="shared" si="5"/>
        <v>59542.75</v>
      </c>
      <c r="N6" s="61"/>
      <c r="O6" s="6" t="s">
        <v>263</v>
      </c>
      <c r="P6" s="61">
        <f t="shared" ref="P6:AA6" si="6">SUM(P4:P5)</f>
        <v>62590.9</v>
      </c>
      <c r="Q6" s="61">
        <f t="shared" si="6"/>
        <v>68007.566666666666</v>
      </c>
      <c r="R6" s="61">
        <f t="shared" si="6"/>
        <v>68007.566666666666</v>
      </c>
      <c r="S6" s="61">
        <f t="shared" si="6"/>
        <v>69226.733333333337</v>
      </c>
      <c r="T6" s="61">
        <f t="shared" si="6"/>
        <v>69226.733333333337</v>
      </c>
      <c r="U6" s="61">
        <f t="shared" si="6"/>
        <v>69226.733333333337</v>
      </c>
      <c r="V6" s="61">
        <f t="shared" si="6"/>
        <v>69226.733333333337</v>
      </c>
      <c r="W6" s="61">
        <f t="shared" si="6"/>
        <v>69226.733333333337</v>
      </c>
      <c r="X6" s="61">
        <f t="shared" si="6"/>
        <v>69226.733333333337</v>
      </c>
      <c r="Y6" s="61">
        <f t="shared" si="6"/>
        <v>69226.733333333337</v>
      </c>
      <c r="Z6" s="61">
        <f t="shared" si="6"/>
        <v>69226.733333333337</v>
      </c>
      <c r="AA6" s="61">
        <f t="shared" si="6"/>
        <v>69226.733333333337</v>
      </c>
      <c r="AC6" s="6" t="s">
        <v>263</v>
      </c>
      <c r="AD6" s="61">
        <f t="shared" ref="AD6:AO6" si="7">SUM(AD4:AD5)</f>
        <v>71044.460333333336</v>
      </c>
      <c r="AE6" s="61">
        <f t="shared" si="7"/>
        <v>71044.460333333336</v>
      </c>
      <c r="AF6" s="61">
        <f t="shared" si="7"/>
        <v>71044.460333333336</v>
      </c>
      <c r="AG6" s="61">
        <f t="shared" si="7"/>
        <v>71044.460333333336</v>
      </c>
      <c r="AH6" s="61">
        <f t="shared" si="7"/>
        <v>71044.460333333336</v>
      </c>
      <c r="AI6" s="61">
        <f t="shared" si="7"/>
        <v>71044.460333333336</v>
      </c>
      <c r="AJ6" s="61">
        <f t="shared" si="7"/>
        <v>71044.460333333336</v>
      </c>
      <c r="AK6" s="61">
        <f t="shared" si="7"/>
        <v>71044.460333333336</v>
      </c>
      <c r="AL6" s="61">
        <f t="shared" si="7"/>
        <v>71044.460333333336</v>
      </c>
      <c r="AM6" s="61">
        <f t="shared" si="7"/>
        <v>71044.460333333336</v>
      </c>
      <c r="AN6" s="61">
        <f t="shared" si="7"/>
        <v>71044.460333333336</v>
      </c>
      <c r="AO6" s="61">
        <f t="shared" si="7"/>
        <v>71044.460333333336</v>
      </c>
    </row>
    <row r="7" spans="1:41" ht="14.2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4.25" customHeight="1">
      <c r="A8" s="22" t="s">
        <v>179</v>
      </c>
      <c r="B8" s="61"/>
      <c r="C8" s="61"/>
      <c r="D8" s="61"/>
      <c r="E8" s="61"/>
      <c r="F8" s="61"/>
      <c r="G8" s="61"/>
      <c r="H8" s="61"/>
      <c r="I8" s="61"/>
      <c r="J8" s="61"/>
      <c r="K8" s="110">
        <v>85000</v>
      </c>
      <c r="L8" s="114" t="s">
        <v>279</v>
      </c>
      <c r="M8" s="61"/>
      <c r="N8" s="61"/>
      <c r="O8" s="22" t="s">
        <v>179</v>
      </c>
      <c r="P8" s="61"/>
      <c r="Q8" s="61"/>
      <c r="R8" s="61"/>
      <c r="S8" s="61"/>
      <c r="T8" s="61"/>
      <c r="U8" s="61"/>
      <c r="V8" s="61"/>
      <c r="W8" s="61"/>
      <c r="X8" s="61"/>
      <c r="Y8" s="110">
        <f>K8</f>
        <v>85000</v>
      </c>
      <c r="Z8" s="61" t="s">
        <v>264</v>
      </c>
      <c r="AA8" s="61"/>
      <c r="AC8" s="22" t="s">
        <v>179</v>
      </c>
      <c r="AD8" s="61"/>
      <c r="AE8" s="61"/>
      <c r="AF8" s="61"/>
      <c r="AG8" s="61"/>
      <c r="AH8" s="61"/>
      <c r="AI8" s="61"/>
      <c r="AJ8" s="61"/>
      <c r="AK8" s="61"/>
      <c r="AL8" s="61"/>
      <c r="AM8" s="110">
        <v>85000</v>
      </c>
      <c r="AN8" s="61" t="s">
        <v>264</v>
      </c>
      <c r="AO8" s="61"/>
    </row>
    <row r="9" spans="1:41" ht="14.25" customHeight="1">
      <c r="A9" s="22" t="s">
        <v>180</v>
      </c>
      <c r="B9" s="61">
        <f>20000/4</f>
        <v>5000</v>
      </c>
      <c r="C9" s="61"/>
      <c r="D9" s="61"/>
      <c r="E9" s="61">
        <v>5000</v>
      </c>
      <c r="F9" s="61"/>
      <c r="G9" s="61"/>
      <c r="H9" s="61">
        <v>5000</v>
      </c>
      <c r="I9" s="61"/>
      <c r="J9" s="61"/>
      <c r="K9" s="61">
        <v>5000</v>
      </c>
      <c r="L9" s="61"/>
      <c r="M9" s="61"/>
      <c r="N9" s="61"/>
      <c r="O9" s="22" t="s">
        <v>180</v>
      </c>
      <c r="P9" s="61">
        <f>K9*1.5</f>
        <v>7500</v>
      </c>
      <c r="Q9" s="61"/>
      <c r="R9" s="61"/>
      <c r="S9" s="61">
        <f>P9</f>
        <v>7500</v>
      </c>
      <c r="T9" s="61"/>
      <c r="U9" s="61"/>
      <c r="V9" s="61">
        <f>S9</f>
        <v>7500</v>
      </c>
      <c r="W9" s="61"/>
      <c r="X9" s="61"/>
      <c r="Y9" s="61">
        <f>V9</f>
        <v>7500</v>
      </c>
      <c r="Z9" s="61"/>
      <c r="AA9" s="61"/>
      <c r="AC9" s="22" t="s">
        <v>180</v>
      </c>
      <c r="AD9" s="61">
        <f>Y9*1.5</f>
        <v>11250</v>
      </c>
      <c r="AE9" s="61"/>
      <c r="AF9" s="61"/>
      <c r="AG9" s="61">
        <f>AD9</f>
        <v>11250</v>
      </c>
      <c r="AH9" s="61"/>
      <c r="AI9" s="61"/>
      <c r="AJ9" s="61">
        <f>AG9</f>
        <v>11250</v>
      </c>
      <c r="AK9" s="61"/>
      <c r="AL9" s="61"/>
      <c r="AM9" s="61">
        <f>AJ9</f>
        <v>11250</v>
      </c>
      <c r="AN9" s="61"/>
      <c r="AO9" s="61"/>
    </row>
    <row r="10" spans="1:41" ht="14.25" customHeight="1">
      <c r="A10" s="22" t="s">
        <v>188</v>
      </c>
      <c r="B10" s="61">
        <f t="shared" ref="B10:M10" si="8">0.02*B4</f>
        <v>1040.5999999999999</v>
      </c>
      <c r="C10" s="61">
        <f t="shared" si="8"/>
        <v>1065.0999999999999</v>
      </c>
      <c r="D10" s="61">
        <f t="shared" si="8"/>
        <v>1065.0999999999999</v>
      </c>
      <c r="E10" s="61">
        <f t="shared" si="8"/>
        <v>1127.2366666666667</v>
      </c>
      <c r="F10" s="61">
        <f t="shared" si="8"/>
        <v>1127.2366666666667</v>
      </c>
      <c r="G10" s="61">
        <f t="shared" si="8"/>
        <v>1127.2366666666667</v>
      </c>
      <c r="H10" s="61">
        <f t="shared" si="8"/>
        <v>1180.6000000000001</v>
      </c>
      <c r="I10" s="61">
        <f t="shared" si="8"/>
        <v>1180.6000000000001</v>
      </c>
      <c r="J10" s="61">
        <f t="shared" si="8"/>
        <v>1180.6000000000001</v>
      </c>
      <c r="K10" s="61">
        <f t="shared" si="8"/>
        <v>1180.6000000000001</v>
      </c>
      <c r="L10" s="61">
        <f t="shared" si="8"/>
        <v>1180.6000000000001</v>
      </c>
      <c r="M10" s="61">
        <f t="shared" si="8"/>
        <v>1180.6000000000001</v>
      </c>
      <c r="N10" s="61"/>
      <c r="O10" s="22" t="s">
        <v>188</v>
      </c>
      <c r="P10" s="61">
        <f t="shared" ref="P10:AA10" si="9">0.02*P4</f>
        <v>1211.818</v>
      </c>
      <c r="Q10" s="61">
        <f t="shared" si="9"/>
        <v>1320.1513333333332</v>
      </c>
      <c r="R10" s="61">
        <f t="shared" si="9"/>
        <v>1320.1513333333332</v>
      </c>
      <c r="S10" s="61">
        <f t="shared" si="9"/>
        <v>1344.5346666666667</v>
      </c>
      <c r="T10" s="61">
        <f t="shared" si="9"/>
        <v>1344.5346666666667</v>
      </c>
      <c r="U10" s="61">
        <f t="shared" si="9"/>
        <v>1344.5346666666667</v>
      </c>
      <c r="V10" s="61">
        <f t="shared" si="9"/>
        <v>1344.5346666666667</v>
      </c>
      <c r="W10" s="61">
        <f t="shared" si="9"/>
        <v>1344.5346666666667</v>
      </c>
      <c r="X10" s="61">
        <f t="shared" si="9"/>
        <v>1344.5346666666667</v>
      </c>
      <c r="Y10" s="61">
        <f t="shared" si="9"/>
        <v>1344.5346666666667</v>
      </c>
      <c r="Z10" s="61">
        <f t="shared" si="9"/>
        <v>1344.5346666666667</v>
      </c>
      <c r="AA10" s="61">
        <f t="shared" si="9"/>
        <v>1344.5346666666667</v>
      </c>
      <c r="AC10" s="22" t="s">
        <v>188</v>
      </c>
      <c r="AD10" s="61">
        <f t="shared" ref="AD10:AO10" si="10">0.02*AD4</f>
        <v>1380.8892066666667</v>
      </c>
      <c r="AE10" s="61">
        <f t="shared" si="10"/>
        <v>1380.8892066666667</v>
      </c>
      <c r="AF10" s="61">
        <f t="shared" si="10"/>
        <v>1380.8892066666667</v>
      </c>
      <c r="AG10" s="61">
        <f t="shared" si="10"/>
        <v>1380.8892066666667</v>
      </c>
      <c r="AH10" s="61">
        <f t="shared" si="10"/>
        <v>1380.8892066666667</v>
      </c>
      <c r="AI10" s="61">
        <f t="shared" si="10"/>
        <v>1380.8892066666667</v>
      </c>
      <c r="AJ10" s="61">
        <f t="shared" si="10"/>
        <v>1380.8892066666667</v>
      </c>
      <c r="AK10" s="61">
        <f t="shared" si="10"/>
        <v>1380.8892066666667</v>
      </c>
      <c r="AL10" s="61">
        <f t="shared" si="10"/>
        <v>1380.8892066666667</v>
      </c>
      <c r="AM10" s="61">
        <f t="shared" si="10"/>
        <v>1380.8892066666667</v>
      </c>
      <c r="AN10" s="61">
        <f t="shared" si="10"/>
        <v>1380.8892066666667</v>
      </c>
      <c r="AO10" s="61">
        <f t="shared" si="10"/>
        <v>1380.8892066666667</v>
      </c>
    </row>
    <row r="11" spans="1:41" ht="14.25" customHeight="1">
      <c r="A11" s="22" t="s">
        <v>205</v>
      </c>
      <c r="B11" s="114">
        <v>4000</v>
      </c>
      <c r="C11" s="114">
        <v>4000</v>
      </c>
      <c r="D11" s="114">
        <v>4000</v>
      </c>
      <c r="E11" s="114">
        <v>4000</v>
      </c>
      <c r="F11" s="114">
        <v>4000</v>
      </c>
      <c r="G11" s="114">
        <v>4000</v>
      </c>
      <c r="H11" s="114">
        <v>4000</v>
      </c>
      <c r="I11" s="114">
        <v>4000</v>
      </c>
      <c r="J11" s="114">
        <v>4000</v>
      </c>
      <c r="K11" s="114">
        <v>4000</v>
      </c>
      <c r="L11" s="114">
        <v>4000</v>
      </c>
      <c r="M11" s="61">
        <f>30000/12</f>
        <v>2500</v>
      </c>
      <c r="N11" s="61"/>
      <c r="O11" s="22" t="s">
        <v>205</v>
      </c>
      <c r="P11" s="114">
        <v>4000</v>
      </c>
      <c r="Q11" s="114">
        <f t="shared" ref="Q11:AA11" si="11">P11</f>
        <v>4000</v>
      </c>
      <c r="R11" s="114">
        <f t="shared" si="11"/>
        <v>4000</v>
      </c>
      <c r="S11" s="114">
        <f t="shared" si="11"/>
        <v>4000</v>
      </c>
      <c r="T11" s="114">
        <f t="shared" si="11"/>
        <v>4000</v>
      </c>
      <c r="U11" s="114">
        <f t="shared" si="11"/>
        <v>4000</v>
      </c>
      <c r="V11" s="114">
        <f t="shared" si="11"/>
        <v>4000</v>
      </c>
      <c r="W11" s="114">
        <f t="shared" si="11"/>
        <v>4000</v>
      </c>
      <c r="X11" s="114">
        <f t="shared" si="11"/>
        <v>4000</v>
      </c>
      <c r="Y11" s="114">
        <f t="shared" si="11"/>
        <v>4000</v>
      </c>
      <c r="Z11" s="114">
        <f t="shared" si="11"/>
        <v>4000</v>
      </c>
      <c r="AA11" s="114">
        <f t="shared" si="11"/>
        <v>4000</v>
      </c>
      <c r="AC11" s="22" t="s">
        <v>205</v>
      </c>
      <c r="AD11" s="61">
        <f t="shared" ref="AD11:AO11" si="12">30000/12</f>
        <v>2500</v>
      </c>
      <c r="AE11" s="61">
        <f t="shared" si="12"/>
        <v>2500</v>
      </c>
      <c r="AF11" s="61">
        <f t="shared" si="12"/>
        <v>2500</v>
      </c>
      <c r="AG11" s="61">
        <f t="shared" si="12"/>
        <v>2500</v>
      </c>
      <c r="AH11" s="61">
        <f t="shared" si="12"/>
        <v>2500</v>
      </c>
      <c r="AI11" s="61">
        <f t="shared" si="12"/>
        <v>2500</v>
      </c>
      <c r="AJ11" s="61">
        <f t="shared" si="12"/>
        <v>2500</v>
      </c>
      <c r="AK11" s="61">
        <f t="shared" si="12"/>
        <v>2500</v>
      </c>
      <c r="AL11" s="61">
        <f t="shared" si="12"/>
        <v>2500</v>
      </c>
      <c r="AM11" s="61">
        <f t="shared" si="12"/>
        <v>2500</v>
      </c>
      <c r="AN11" s="61">
        <f t="shared" si="12"/>
        <v>2500</v>
      </c>
      <c r="AO11" s="61">
        <f t="shared" si="12"/>
        <v>2500</v>
      </c>
    </row>
    <row r="12" spans="1:41" ht="14.25" customHeight="1">
      <c r="A12" s="22" t="s">
        <v>206</v>
      </c>
      <c r="B12" s="110">
        <f t="shared" ref="B12:M12" si="13">3000</f>
        <v>3000</v>
      </c>
      <c r="C12" s="61">
        <f t="shared" si="13"/>
        <v>3000</v>
      </c>
      <c r="D12" s="61">
        <f t="shared" si="13"/>
        <v>3000</v>
      </c>
      <c r="E12" s="61">
        <f t="shared" si="13"/>
        <v>3000</v>
      </c>
      <c r="F12" s="61">
        <f t="shared" si="13"/>
        <v>3000</v>
      </c>
      <c r="G12" s="61">
        <f t="shared" si="13"/>
        <v>3000</v>
      </c>
      <c r="H12" s="61">
        <f t="shared" si="13"/>
        <v>3000</v>
      </c>
      <c r="I12" s="61">
        <f t="shared" si="13"/>
        <v>3000</v>
      </c>
      <c r="J12" s="61">
        <f t="shared" si="13"/>
        <v>3000</v>
      </c>
      <c r="K12" s="61">
        <f t="shared" si="13"/>
        <v>3000</v>
      </c>
      <c r="L12" s="61">
        <f t="shared" si="13"/>
        <v>3000</v>
      </c>
      <c r="M12" s="61">
        <f t="shared" si="13"/>
        <v>3000</v>
      </c>
      <c r="N12" s="61"/>
      <c r="O12" s="22" t="s">
        <v>206</v>
      </c>
      <c r="P12" s="111">
        <v>4000</v>
      </c>
      <c r="Q12" s="111">
        <v>4000</v>
      </c>
      <c r="R12" s="111">
        <v>4000</v>
      </c>
      <c r="S12" s="111">
        <v>4000</v>
      </c>
      <c r="T12" s="111">
        <v>4000</v>
      </c>
      <c r="U12" s="111">
        <v>4000</v>
      </c>
      <c r="V12" s="111">
        <v>4000</v>
      </c>
      <c r="W12" s="111">
        <v>4000</v>
      </c>
      <c r="X12" s="111">
        <v>4000</v>
      </c>
      <c r="Y12" s="111">
        <v>4000</v>
      </c>
      <c r="Z12" s="111">
        <v>4000</v>
      </c>
      <c r="AA12" s="111">
        <v>4000</v>
      </c>
      <c r="AC12" s="22" t="s">
        <v>206</v>
      </c>
      <c r="AD12" s="111">
        <v>4000</v>
      </c>
      <c r="AE12" s="111">
        <v>4000</v>
      </c>
      <c r="AF12" s="111">
        <v>4000</v>
      </c>
      <c r="AG12" s="111">
        <v>4000</v>
      </c>
      <c r="AH12" s="111">
        <v>4000</v>
      </c>
      <c r="AI12" s="111">
        <v>4000</v>
      </c>
      <c r="AJ12" s="111">
        <v>4000</v>
      </c>
      <c r="AK12" s="111">
        <v>4000</v>
      </c>
      <c r="AL12" s="111">
        <v>4000</v>
      </c>
      <c r="AM12" s="111">
        <v>4000</v>
      </c>
      <c r="AN12" s="111">
        <v>4000</v>
      </c>
      <c r="AO12" s="111">
        <v>4000</v>
      </c>
    </row>
    <row r="13" spans="1:41" ht="14.25" customHeight="1">
      <c r="A13" s="22" t="s">
        <v>207</v>
      </c>
      <c r="B13" s="61">
        <f t="shared" ref="B13:M13" si="14">10000/12</f>
        <v>833.33333333333337</v>
      </c>
      <c r="C13" s="61">
        <f t="shared" si="14"/>
        <v>833.33333333333337</v>
      </c>
      <c r="D13" s="61">
        <f t="shared" si="14"/>
        <v>833.33333333333337</v>
      </c>
      <c r="E13" s="61">
        <f t="shared" si="14"/>
        <v>833.33333333333337</v>
      </c>
      <c r="F13" s="61">
        <f t="shared" si="14"/>
        <v>833.33333333333337</v>
      </c>
      <c r="G13" s="61">
        <f t="shared" si="14"/>
        <v>833.33333333333337</v>
      </c>
      <c r="H13" s="61">
        <f t="shared" si="14"/>
        <v>833.33333333333337</v>
      </c>
      <c r="I13" s="61">
        <f t="shared" si="14"/>
        <v>833.33333333333337</v>
      </c>
      <c r="J13" s="61">
        <f t="shared" si="14"/>
        <v>833.33333333333337</v>
      </c>
      <c r="K13" s="61">
        <f t="shared" si="14"/>
        <v>833.33333333333337</v>
      </c>
      <c r="L13" s="61">
        <f t="shared" si="14"/>
        <v>833.33333333333337</v>
      </c>
      <c r="M13" s="61">
        <f t="shared" si="14"/>
        <v>833.33333333333337</v>
      </c>
      <c r="N13" s="61"/>
      <c r="O13" s="22" t="s">
        <v>207</v>
      </c>
      <c r="P13" s="61">
        <f t="shared" ref="P13:AA13" si="15">10000/12</f>
        <v>833.33333333333337</v>
      </c>
      <c r="Q13" s="61">
        <f t="shared" si="15"/>
        <v>833.33333333333337</v>
      </c>
      <c r="R13" s="61">
        <f t="shared" si="15"/>
        <v>833.33333333333337</v>
      </c>
      <c r="S13" s="61">
        <f t="shared" si="15"/>
        <v>833.33333333333337</v>
      </c>
      <c r="T13" s="61">
        <f t="shared" si="15"/>
        <v>833.33333333333337</v>
      </c>
      <c r="U13" s="61">
        <f t="shared" si="15"/>
        <v>833.33333333333337</v>
      </c>
      <c r="V13" s="61">
        <f t="shared" si="15"/>
        <v>833.33333333333337</v>
      </c>
      <c r="W13" s="61">
        <f t="shared" si="15"/>
        <v>833.33333333333337</v>
      </c>
      <c r="X13" s="61">
        <f t="shared" si="15"/>
        <v>833.33333333333337</v>
      </c>
      <c r="Y13" s="61">
        <f t="shared" si="15"/>
        <v>833.33333333333337</v>
      </c>
      <c r="Z13" s="61">
        <f t="shared" si="15"/>
        <v>833.33333333333337</v>
      </c>
      <c r="AA13" s="61">
        <f t="shared" si="15"/>
        <v>833.33333333333337</v>
      </c>
      <c r="AC13" s="22" t="s">
        <v>207</v>
      </c>
      <c r="AD13" s="61">
        <f t="shared" ref="AD13:AO13" si="16">10000/12</f>
        <v>833.33333333333337</v>
      </c>
      <c r="AE13" s="61">
        <f t="shared" si="16"/>
        <v>833.33333333333337</v>
      </c>
      <c r="AF13" s="61">
        <f t="shared" si="16"/>
        <v>833.33333333333337</v>
      </c>
      <c r="AG13" s="61">
        <f t="shared" si="16"/>
        <v>833.33333333333337</v>
      </c>
      <c r="AH13" s="61">
        <f t="shared" si="16"/>
        <v>833.33333333333337</v>
      </c>
      <c r="AI13" s="61">
        <f t="shared" si="16"/>
        <v>833.33333333333337</v>
      </c>
      <c r="AJ13" s="61">
        <f t="shared" si="16"/>
        <v>833.33333333333337</v>
      </c>
      <c r="AK13" s="61">
        <f t="shared" si="16"/>
        <v>833.33333333333337</v>
      </c>
      <c r="AL13" s="61">
        <f t="shared" si="16"/>
        <v>833.33333333333337</v>
      </c>
      <c r="AM13" s="61">
        <f t="shared" si="16"/>
        <v>833.33333333333337</v>
      </c>
      <c r="AN13" s="61">
        <f t="shared" si="16"/>
        <v>833.33333333333337</v>
      </c>
      <c r="AO13" s="61">
        <f t="shared" si="16"/>
        <v>833.33333333333337</v>
      </c>
    </row>
    <row r="14" spans="1:41" ht="14.25" customHeight="1">
      <c r="A14" s="22" t="s">
        <v>208</v>
      </c>
      <c r="B14" s="61">
        <f t="shared" ref="B14:M14" si="17">7000/12</f>
        <v>583.33333333333337</v>
      </c>
      <c r="C14" s="61">
        <f t="shared" si="17"/>
        <v>583.33333333333337</v>
      </c>
      <c r="D14" s="61">
        <f t="shared" si="17"/>
        <v>583.33333333333337</v>
      </c>
      <c r="E14" s="61">
        <f t="shared" si="17"/>
        <v>583.33333333333337</v>
      </c>
      <c r="F14" s="61">
        <f t="shared" si="17"/>
        <v>583.33333333333337</v>
      </c>
      <c r="G14" s="61">
        <f t="shared" si="17"/>
        <v>583.33333333333337</v>
      </c>
      <c r="H14" s="61">
        <f t="shared" si="17"/>
        <v>583.33333333333337</v>
      </c>
      <c r="I14" s="61">
        <f t="shared" si="17"/>
        <v>583.33333333333337</v>
      </c>
      <c r="J14" s="61">
        <f t="shared" si="17"/>
        <v>583.33333333333337</v>
      </c>
      <c r="K14" s="61">
        <f t="shared" si="17"/>
        <v>583.33333333333337</v>
      </c>
      <c r="L14" s="61">
        <f t="shared" si="17"/>
        <v>583.33333333333337</v>
      </c>
      <c r="M14" s="61">
        <f t="shared" si="17"/>
        <v>583.33333333333337</v>
      </c>
      <c r="N14" s="61"/>
      <c r="O14" s="22" t="s">
        <v>208</v>
      </c>
      <c r="P14" s="61">
        <f t="shared" ref="P14:AA14" si="18">7000/12</f>
        <v>583.33333333333337</v>
      </c>
      <c r="Q14" s="61">
        <f t="shared" si="18"/>
        <v>583.33333333333337</v>
      </c>
      <c r="R14" s="61">
        <f t="shared" si="18"/>
        <v>583.33333333333337</v>
      </c>
      <c r="S14" s="61">
        <f t="shared" si="18"/>
        <v>583.33333333333337</v>
      </c>
      <c r="T14" s="61">
        <f t="shared" si="18"/>
        <v>583.33333333333337</v>
      </c>
      <c r="U14" s="61">
        <f t="shared" si="18"/>
        <v>583.33333333333337</v>
      </c>
      <c r="V14" s="61">
        <f t="shared" si="18"/>
        <v>583.33333333333337</v>
      </c>
      <c r="W14" s="61">
        <f t="shared" si="18"/>
        <v>583.33333333333337</v>
      </c>
      <c r="X14" s="61">
        <f t="shared" si="18"/>
        <v>583.33333333333337</v>
      </c>
      <c r="Y14" s="61">
        <f t="shared" si="18"/>
        <v>583.33333333333337</v>
      </c>
      <c r="Z14" s="61">
        <f t="shared" si="18"/>
        <v>583.33333333333337</v>
      </c>
      <c r="AA14" s="61">
        <f t="shared" si="18"/>
        <v>583.33333333333337</v>
      </c>
      <c r="AC14" s="22" t="s">
        <v>208</v>
      </c>
      <c r="AD14" s="61">
        <f t="shared" ref="AD14:AO14" si="19">7000/12</f>
        <v>583.33333333333337</v>
      </c>
      <c r="AE14" s="61">
        <f t="shared" si="19"/>
        <v>583.33333333333337</v>
      </c>
      <c r="AF14" s="61">
        <f t="shared" si="19"/>
        <v>583.33333333333337</v>
      </c>
      <c r="AG14" s="61">
        <f t="shared" si="19"/>
        <v>583.33333333333337</v>
      </c>
      <c r="AH14" s="61">
        <f t="shared" si="19"/>
        <v>583.33333333333337</v>
      </c>
      <c r="AI14" s="61">
        <f t="shared" si="19"/>
        <v>583.33333333333337</v>
      </c>
      <c r="AJ14" s="61">
        <f t="shared" si="19"/>
        <v>583.33333333333337</v>
      </c>
      <c r="AK14" s="61">
        <f t="shared" si="19"/>
        <v>583.33333333333337</v>
      </c>
      <c r="AL14" s="61">
        <f t="shared" si="19"/>
        <v>583.33333333333337</v>
      </c>
      <c r="AM14" s="61">
        <f t="shared" si="19"/>
        <v>583.33333333333337</v>
      </c>
      <c r="AN14" s="61">
        <f t="shared" si="19"/>
        <v>583.33333333333337</v>
      </c>
      <c r="AO14" s="61">
        <f t="shared" si="19"/>
        <v>583.33333333333337</v>
      </c>
    </row>
    <row r="15" spans="1:41" ht="14.25" customHeight="1">
      <c r="A15" s="22" t="s">
        <v>265</v>
      </c>
      <c r="B15" s="61">
        <v>32390</v>
      </c>
      <c r="C15" s="61">
        <v>32390</v>
      </c>
      <c r="D15" s="61">
        <v>32390</v>
      </c>
      <c r="E15" s="61">
        <v>32390</v>
      </c>
      <c r="F15" s="61">
        <v>32390</v>
      </c>
      <c r="G15" s="61">
        <v>32390</v>
      </c>
      <c r="H15" s="61">
        <v>32390</v>
      </c>
      <c r="I15" s="61">
        <v>32390</v>
      </c>
      <c r="J15" s="61">
        <v>32390</v>
      </c>
      <c r="K15" s="61">
        <v>32390</v>
      </c>
      <c r="L15" s="61">
        <v>32390</v>
      </c>
      <c r="M15" s="61">
        <v>32390</v>
      </c>
      <c r="N15" s="61"/>
      <c r="O15" s="22" t="s">
        <v>265</v>
      </c>
      <c r="P15" s="61">
        <v>32390</v>
      </c>
      <c r="Q15" s="61">
        <v>32390</v>
      </c>
      <c r="R15" s="61">
        <v>32390</v>
      </c>
      <c r="S15" s="61">
        <v>32390</v>
      </c>
      <c r="T15" s="61">
        <v>32390</v>
      </c>
      <c r="U15" s="61">
        <v>32390</v>
      </c>
      <c r="V15" s="61">
        <v>32390</v>
      </c>
      <c r="W15" s="61">
        <v>32390</v>
      </c>
      <c r="X15" s="61">
        <v>32390</v>
      </c>
      <c r="Y15" s="61">
        <v>32390</v>
      </c>
      <c r="Z15" s="61">
        <v>32390</v>
      </c>
      <c r="AA15" s="61">
        <v>32390</v>
      </c>
      <c r="AC15" s="22" t="s">
        <v>265</v>
      </c>
      <c r="AD15" s="61">
        <v>32390</v>
      </c>
      <c r="AE15" s="61">
        <v>32390</v>
      </c>
      <c r="AF15" s="61">
        <v>32390</v>
      </c>
      <c r="AG15" s="61">
        <v>32390</v>
      </c>
      <c r="AH15" s="61">
        <v>32390</v>
      </c>
      <c r="AI15" s="61">
        <v>32390</v>
      </c>
      <c r="AJ15" s="61">
        <v>32390</v>
      </c>
      <c r="AK15" s="61">
        <v>32390</v>
      </c>
      <c r="AL15" s="61">
        <v>32390</v>
      </c>
      <c r="AM15" s="61">
        <v>32390</v>
      </c>
      <c r="AN15" s="61">
        <v>32390</v>
      </c>
      <c r="AO15" s="61">
        <v>32390</v>
      </c>
    </row>
    <row r="16" spans="1:41" ht="14.25" customHeight="1">
      <c r="A16" s="22" t="s">
        <v>266</v>
      </c>
      <c r="B16" s="61">
        <v>8000</v>
      </c>
      <c r="C16" s="114">
        <v>120000</v>
      </c>
      <c r="D16" s="114">
        <v>8000</v>
      </c>
      <c r="E16" s="61">
        <v>8000</v>
      </c>
      <c r="F16" s="61"/>
      <c r="G16" s="114">
        <v>8000</v>
      </c>
      <c r="H16" s="61">
        <v>8000</v>
      </c>
      <c r="I16" s="61"/>
      <c r="J16" s="61"/>
      <c r="K16" s="61"/>
      <c r="L16" s="61">
        <v>8000</v>
      </c>
      <c r="M16" s="61"/>
      <c r="N16" s="61"/>
      <c r="O16" s="22" t="s">
        <v>266</v>
      </c>
      <c r="P16" s="114">
        <v>200000</v>
      </c>
      <c r="Q16" s="61">
        <v>8000</v>
      </c>
      <c r="R16" s="61"/>
      <c r="S16" s="61">
        <v>8000</v>
      </c>
      <c r="T16" s="61"/>
      <c r="U16" s="61"/>
      <c r="V16" s="61">
        <v>8000</v>
      </c>
      <c r="W16" s="61">
        <v>8000</v>
      </c>
      <c r="X16" s="61"/>
      <c r="Y16" s="114">
        <v>8000</v>
      </c>
      <c r="Z16" s="114">
        <v>8000</v>
      </c>
      <c r="AA16" s="114"/>
      <c r="AC16" s="22" t="s">
        <v>266</v>
      </c>
      <c r="AD16" s="61"/>
      <c r="AE16" s="61">
        <v>8000</v>
      </c>
      <c r="AF16" s="61"/>
      <c r="AG16" s="61">
        <v>8000</v>
      </c>
      <c r="AH16" s="61"/>
      <c r="AI16" s="61"/>
      <c r="AJ16" s="61">
        <v>8000</v>
      </c>
      <c r="AK16" s="61">
        <v>8000</v>
      </c>
      <c r="AL16" s="61"/>
      <c r="AM16" s="61"/>
      <c r="AN16" s="61"/>
      <c r="AO16" s="61"/>
    </row>
    <row r="17" spans="1:41" ht="14.25" customHeight="1">
      <c r="A17" s="22" t="s">
        <v>209</v>
      </c>
      <c r="B17" s="61">
        <f t="shared" ref="B17:M17" si="20">SUM(B8:B16)</f>
        <v>54847.26666666667</v>
      </c>
      <c r="C17" s="61">
        <f t="shared" si="20"/>
        <v>161871.76666666666</v>
      </c>
      <c r="D17" s="61">
        <f t="shared" si="20"/>
        <v>49871.76666666667</v>
      </c>
      <c r="E17" s="61">
        <f t="shared" si="20"/>
        <v>54933.903333333335</v>
      </c>
      <c r="F17" s="61">
        <f t="shared" si="20"/>
        <v>41933.903333333335</v>
      </c>
      <c r="G17" s="61">
        <f t="shared" si="20"/>
        <v>49933.903333333335</v>
      </c>
      <c r="H17" s="61">
        <f t="shared" si="20"/>
        <v>54987.26666666667</v>
      </c>
      <c r="I17" s="61">
        <f t="shared" si="20"/>
        <v>41987.26666666667</v>
      </c>
      <c r="J17" s="61">
        <f t="shared" si="20"/>
        <v>41987.26666666667</v>
      </c>
      <c r="K17" s="61">
        <f t="shared" si="20"/>
        <v>131987.26666666666</v>
      </c>
      <c r="L17" s="61">
        <f t="shared" si="20"/>
        <v>49987.26666666667</v>
      </c>
      <c r="M17" s="61">
        <f t="shared" si="20"/>
        <v>40487.266666666663</v>
      </c>
      <c r="O17" s="22" t="s">
        <v>209</v>
      </c>
      <c r="P17" s="61">
        <f t="shared" ref="P17:AA17" si="21">SUM(P8:P16)</f>
        <v>250518.48466666666</v>
      </c>
      <c r="Q17" s="61">
        <f t="shared" si="21"/>
        <v>51126.817999999999</v>
      </c>
      <c r="R17" s="61">
        <f t="shared" si="21"/>
        <v>43126.817999999999</v>
      </c>
      <c r="S17" s="61">
        <f t="shared" si="21"/>
        <v>58651.201333333331</v>
      </c>
      <c r="T17" s="61">
        <f t="shared" si="21"/>
        <v>43151.201333333331</v>
      </c>
      <c r="U17" s="61">
        <f t="shared" si="21"/>
        <v>43151.201333333331</v>
      </c>
      <c r="V17" s="61">
        <f t="shared" si="21"/>
        <v>58651.201333333331</v>
      </c>
      <c r="W17" s="61">
        <f t="shared" si="21"/>
        <v>51151.201333333331</v>
      </c>
      <c r="X17" s="61">
        <f t="shared" si="21"/>
        <v>43151.201333333331</v>
      </c>
      <c r="Y17" s="61">
        <f t="shared" si="21"/>
        <v>143651.20133333333</v>
      </c>
      <c r="Z17" s="61">
        <f t="shared" si="21"/>
        <v>51151.201333333331</v>
      </c>
      <c r="AA17" s="61">
        <f t="shared" si="21"/>
        <v>43151.201333333331</v>
      </c>
      <c r="AC17" s="22" t="s">
        <v>209</v>
      </c>
      <c r="AD17" s="61">
        <f t="shared" ref="AD17:AO17" si="22">SUM(AD8:AD16)</f>
        <v>52937.555873333331</v>
      </c>
      <c r="AE17" s="61">
        <f t="shared" si="22"/>
        <v>49687.555873333331</v>
      </c>
      <c r="AF17" s="61">
        <f t="shared" si="22"/>
        <v>41687.555873333331</v>
      </c>
      <c r="AG17" s="61">
        <f t="shared" si="22"/>
        <v>60937.555873333331</v>
      </c>
      <c r="AH17" s="61">
        <f t="shared" si="22"/>
        <v>41687.555873333331</v>
      </c>
      <c r="AI17" s="61">
        <f t="shared" si="22"/>
        <v>41687.555873333331</v>
      </c>
      <c r="AJ17" s="61">
        <f t="shared" si="22"/>
        <v>60937.555873333331</v>
      </c>
      <c r="AK17" s="61">
        <f t="shared" si="22"/>
        <v>49687.555873333331</v>
      </c>
      <c r="AL17" s="61">
        <f t="shared" si="22"/>
        <v>41687.555873333331</v>
      </c>
      <c r="AM17" s="61">
        <f t="shared" si="22"/>
        <v>137937.55587333333</v>
      </c>
      <c r="AN17" s="61">
        <f t="shared" si="22"/>
        <v>41687.555873333331</v>
      </c>
      <c r="AO17" s="61">
        <f t="shared" si="22"/>
        <v>41687.555873333331</v>
      </c>
    </row>
    <row r="18" spans="1:41" ht="14.25" customHeight="1">
      <c r="A18" s="22" t="s">
        <v>267</v>
      </c>
      <c r="B18" s="61">
        <f t="shared" ref="B18:M18" si="23">B6-B17</f>
        <v>-2304.5166666666701</v>
      </c>
      <c r="C18" s="61">
        <f t="shared" si="23"/>
        <v>-108104.01666666666</v>
      </c>
      <c r="D18" s="61">
        <f t="shared" si="23"/>
        <v>3895.9833333333299</v>
      </c>
      <c r="E18" s="61">
        <f t="shared" si="23"/>
        <v>1940.6800000000003</v>
      </c>
      <c r="F18" s="61">
        <f t="shared" si="23"/>
        <v>14940.68</v>
      </c>
      <c r="G18" s="61">
        <f t="shared" si="23"/>
        <v>6940.68</v>
      </c>
      <c r="H18" s="61">
        <f t="shared" si="23"/>
        <v>4555.4833333333299</v>
      </c>
      <c r="I18" s="61">
        <f t="shared" si="23"/>
        <v>17555.48333333333</v>
      </c>
      <c r="J18" s="61">
        <f t="shared" si="23"/>
        <v>17555.48333333333</v>
      </c>
      <c r="K18" s="61">
        <f t="shared" si="23"/>
        <v>-72444.516666666663</v>
      </c>
      <c r="L18" s="61">
        <f t="shared" si="23"/>
        <v>9555.4833333333299</v>
      </c>
      <c r="M18" s="61">
        <f t="shared" si="23"/>
        <v>19055.483333333337</v>
      </c>
      <c r="P18" s="61">
        <f t="shared" ref="P18:AA18" si="24">P6-P17</f>
        <v>-187927.58466666666</v>
      </c>
      <c r="Q18" s="61">
        <f t="shared" si="24"/>
        <v>16880.748666666666</v>
      </c>
      <c r="R18" s="61">
        <f t="shared" si="24"/>
        <v>24880.748666666666</v>
      </c>
      <c r="S18" s="61">
        <f t="shared" si="24"/>
        <v>10575.532000000007</v>
      </c>
      <c r="T18" s="61">
        <f t="shared" si="24"/>
        <v>26075.532000000007</v>
      </c>
      <c r="U18" s="61">
        <f t="shared" si="24"/>
        <v>26075.532000000007</v>
      </c>
      <c r="V18" s="61">
        <f t="shared" si="24"/>
        <v>10575.532000000007</v>
      </c>
      <c r="W18" s="61">
        <f t="shared" si="24"/>
        <v>18075.532000000007</v>
      </c>
      <c r="X18" s="61">
        <f t="shared" si="24"/>
        <v>26075.532000000007</v>
      </c>
      <c r="Y18" s="61">
        <f t="shared" si="24"/>
        <v>-74424.467999999993</v>
      </c>
      <c r="Z18" s="61">
        <f t="shared" si="24"/>
        <v>18075.532000000007</v>
      </c>
      <c r="AA18" s="61">
        <f t="shared" si="24"/>
        <v>26075.532000000007</v>
      </c>
      <c r="AD18" s="61">
        <f t="shared" ref="AD18:AO18" si="25">AD6-AD17</f>
        <v>18106.904460000005</v>
      </c>
      <c r="AE18" s="61">
        <f t="shared" si="25"/>
        <v>21356.904460000005</v>
      </c>
      <c r="AF18" s="61">
        <f t="shared" si="25"/>
        <v>29356.904460000005</v>
      </c>
      <c r="AG18" s="61">
        <f t="shared" si="25"/>
        <v>10106.904460000005</v>
      </c>
      <c r="AH18" s="61">
        <f t="shared" si="25"/>
        <v>29356.904460000005</v>
      </c>
      <c r="AI18" s="61">
        <f t="shared" si="25"/>
        <v>29356.904460000005</v>
      </c>
      <c r="AJ18" s="61">
        <f t="shared" si="25"/>
        <v>10106.904460000005</v>
      </c>
      <c r="AK18" s="61">
        <f t="shared" si="25"/>
        <v>21356.904460000005</v>
      </c>
      <c r="AL18" s="61">
        <f t="shared" si="25"/>
        <v>29356.904460000005</v>
      </c>
      <c r="AM18" s="61">
        <f t="shared" si="25"/>
        <v>-66893.095539999995</v>
      </c>
      <c r="AN18" s="61">
        <f t="shared" si="25"/>
        <v>29356.904460000005</v>
      </c>
      <c r="AO18" s="61">
        <f t="shared" si="25"/>
        <v>29356.904460000005</v>
      </c>
    </row>
    <row r="19" spans="1:41" ht="14.25" customHeight="1">
      <c r="A19" s="22" t="s">
        <v>268</v>
      </c>
      <c r="B19" s="61">
        <f>B1+B6-B17</f>
        <v>397695.48333333334</v>
      </c>
      <c r="C19" s="61">
        <f t="shared" ref="C19:M19" si="26">B19+C6-C17</f>
        <v>289591.46666666667</v>
      </c>
      <c r="D19" s="61">
        <f t="shared" si="26"/>
        <v>293487.45</v>
      </c>
      <c r="E19" s="61">
        <f t="shared" si="26"/>
        <v>295428.13</v>
      </c>
      <c r="F19" s="61">
        <f t="shared" si="26"/>
        <v>310368.81</v>
      </c>
      <c r="G19" s="61">
        <f t="shared" si="26"/>
        <v>317309.49</v>
      </c>
      <c r="H19" s="61">
        <f t="shared" si="26"/>
        <v>321864.97333333333</v>
      </c>
      <c r="I19" s="61">
        <f t="shared" si="26"/>
        <v>339420.45666666667</v>
      </c>
      <c r="J19" s="61">
        <f t="shared" si="26"/>
        <v>356975.94</v>
      </c>
      <c r="K19" s="61">
        <f t="shared" si="26"/>
        <v>284531.42333333334</v>
      </c>
      <c r="L19" s="61">
        <f t="shared" si="26"/>
        <v>294086.90666666668</v>
      </c>
      <c r="M19" s="61">
        <f t="shared" si="26"/>
        <v>313142.39</v>
      </c>
      <c r="O19" s="22" t="s">
        <v>268</v>
      </c>
      <c r="P19" s="61">
        <f>M19+P6-P17</f>
        <v>125214.80533333338</v>
      </c>
      <c r="Q19" s="61">
        <f t="shared" ref="Q19:AA19" si="27">P19+Q6-Q17</f>
        <v>142095.55400000003</v>
      </c>
      <c r="R19" s="61">
        <f t="shared" si="27"/>
        <v>166976.30266666671</v>
      </c>
      <c r="S19" s="61">
        <f t="shared" si="27"/>
        <v>177551.83466666672</v>
      </c>
      <c r="T19" s="61">
        <f t="shared" si="27"/>
        <v>203627.36666666673</v>
      </c>
      <c r="U19" s="61">
        <f t="shared" si="27"/>
        <v>229702.89866666676</v>
      </c>
      <c r="V19" s="61">
        <f t="shared" si="27"/>
        <v>240278.43066666677</v>
      </c>
      <c r="W19" s="61">
        <f t="shared" si="27"/>
        <v>258353.96266666678</v>
      </c>
      <c r="X19" s="61">
        <f t="shared" si="27"/>
        <v>284429.49466666678</v>
      </c>
      <c r="Y19" s="61">
        <f t="shared" si="27"/>
        <v>210005.02666666679</v>
      </c>
      <c r="Z19" s="61">
        <f t="shared" si="27"/>
        <v>228080.5586666668</v>
      </c>
      <c r="AA19" s="61">
        <f t="shared" si="27"/>
        <v>254156.0906666668</v>
      </c>
      <c r="AC19" s="22" t="s">
        <v>268</v>
      </c>
      <c r="AD19" s="61">
        <f>AA19+AD6-AD17</f>
        <v>272262.99512666685</v>
      </c>
      <c r="AE19" s="61">
        <f t="shared" ref="AE19:AO19" si="28">AD19+AE6-AE17</f>
        <v>293619.89958666684</v>
      </c>
      <c r="AF19" s="61">
        <f t="shared" si="28"/>
        <v>322976.80404666683</v>
      </c>
      <c r="AG19" s="61">
        <f t="shared" si="28"/>
        <v>333083.70850666682</v>
      </c>
      <c r="AH19" s="61">
        <f t="shared" si="28"/>
        <v>362440.61296666681</v>
      </c>
      <c r="AI19" s="61">
        <f t="shared" si="28"/>
        <v>391797.5174266668</v>
      </c>
      <c r="AJ19" s="61">
        <f t="shared" si="28"/>
        <v>401904.42188666679</v>
      </c>
      <c r="AK19" s="61">
        <f t="shared" si="28"/>
        <v>423261.32634666678</v>
      </c>
      <c r="AL19" s="61">
        <f t="shared" si="28"/>
        <v>452618.23080666678</v>
      </c>
      <c r="AM19" s="61">
        <f t="shared" si="28"/>
        <v>385725.13526666677</v>
      </c>
      <c r="AN19" s="61">
        <f t="shared" si="28"/>
        <v>415082.03972666676</v>
      </c>
      <c r="AO19" s="61">
        <f t="shared" si="28"/>
        <v>444438.94418666675</v>
      </c>
    </row>
    <row r="20" spans="1:41" ht="14.25" customHeight="1"/>
    <row r="21" spans="1:41" ht="14.25" customHeight="1">
      <c r="A21" s="22" t="s">
        <v>269</v>
      </c>
      <c r="O21" s="22" t="s">
        <v>269</v>
      </c>
      <c r="AC21" s="22" t="s">
        <v>269</v>
      </c>
    </row>
    <row r="22" spans="1:41" ht="14.25" customHeight="1">
      <c r="A22" s="61">
        <f>0.2*4500000+B1</f>
        <v>1300000</v>
      </c>
      <c r="O22" s="61"/>
      <c r="AC22" s="61"/>
    </row>
    <row r="23" spans="1:41" ht="14.25" customHeight="1">
      <c r="A23" s="6" t="s">
        <v>270</v>
      </c>
      <c r="B23" s="61"/>
      <c r="C23" s="61"/>
      <c r="D23" s="61">
        <f>$A22*0.08*0.25</f>
        <v>26000</v>
      </c>
      <c r="E23" s="61"/>
      <c r="F23" s="61"/>
      <c r="G23" s="61">
        <f>$A22*0.08*0.25</f>
        <v>26000</v>
      </c>
      <c r="H23" s="61"/>
      <c r="I23" s="61"/>
      <c r="J23" s="61">
        <f>$A22*0.08*0.25</f>
        <v>26000</v>
      </c>
      <c r="K23" s="61"/>
      <c r="L23" s="61"/>
      <c r="M23" s="61">
        <f>$A22*0.08*0.25</f>
        <v>26000</v>
      </c>
      <c r="O23" s="6" t="s">
        <v>270</v>
      </c>
      <c r="P23" s="61"/>
      <c r="Q23" s="61"/>
      <c r="R23" s="61">
        <f>$A22*0.08*0.25</f>
        <v>26000</v>
      </c>
      <c r="S23" s="61"/>
      <c r="T23" s="61"/>
      <c r="U23" s="61">
        <f>$A22*0.08*0.25</f>
        <v>26000</v>
      </c>
      <c r="V23" s="61"/>
      <c r="W23" s="61"/>
      <c r="X23" s="61">
        <f>$A22*0.08*0.25</f>
        <v>26000</v>
      </c>
      <c r="Y23" s="61"/>
      <c r="Z23" s="61"/>
      <c r="AA23" s="61">
        <f>$A22*0.08*0.25</f>
        <v>26000</v>
      </c>
      <c r="AC23" s="6" t="s">
        <v>270</v>
      </c>
      <c r="AD23" s="61"/>
      <c r="AE23" s="61"/>
      <c r="AF23" s="61">
        <f>$A22*0.08*0.25</f>
        <v>26000</v>
      </c>
      <c r="AG23" s="61"/>
      <c r="AH23" s="61"/>
      <c r="AI23" s="61">
        <f>$A22*0.08*0.25</f>
        <v>26000</v>
      </c>
      <c r="AJ23" s="61"/>
      <c r="AK23" s="61"/>
      <c r="AL23" s="61">
        <f>$A22*0.08*0.25</f>
        <v>26000</v>
      </c>
      <c r="AM23" s="61"/>
      <c r="AN23" s="61"/>
      <c r="AO23" s="61">
        <f>$A22*0.08*0.25</f>
        <v>26000</v>
      </c>
    </row>
    <row r="24" spans="1:41" ht="14.25" customHeight="1"/>
    <row r="25" spans="1:41" ht="14.25" customHeight="1">
      <c r="A25" s="6" t="s">
        <v>268</v>
      </c>
      <c r="B25" s="61">
        <f t="shared" ref="B25:M25" si="29">B19-B23</f>
        <v>397695.48333333334</v>
      </c>
      <c r="C25" s="61">
        <f t="shared" si="29"/>
        <v>289591.46666666667</v>
      </c>
      <c r="D25" s="61">
        <f t="shared" si="29"/>
        <v>267487.45</v>
      </c>
      <c r="E25" s="61">
        <f t="shared" si="29"/>
        <v>295428.13</v>
      </c>
      <c r="F25" s="61">
        <f t="shared" si="29"/>
        <v>310368.81</v>
      </c>
      <c r="G25" s="61">
        <f t="shared" si="29"/>
        <v>291309.49</v>
      </c>
      <c r="H25" s="61">
        <f t="shared" si="29"/>
        <v>321864.97333333333</v>
      </c>
      <c r="I25" s="61">
        <f t="shared" si="29"/>
        <v>339420.45666666667</v>
      </c>
      <c r="J25" s="61">
        <f t="shared" si="29"/>
        <v>330975.94</v>
      </c>
      <c r="K25" s="61">
        <f t="shared" si="29"/>
        <v>284531.42333333334</v>
      </c>
      <c r="L25" s="61">
        <f t="shared" si="29"/>
        <v>294086.90666666668</v>
      </c>
      <c r="M25" s="61">
        <f t="shared" si="29"/>
        <v>287142.39</v>
      </c>
      <c r="O25" s="6" t="s">
        <v>268</v>
      </c>
      <c r="P25" s="61">
        <f>M25+P6-P17-P23</f>
        <v>99214.805333333381</v>
      </c>
      <c r="Q25" s="61">
        <f t="shared" ref="Q25:AA25" si="30">P25+Q6-Q17-Q23</f>
        <v>116095.55400000003</v>
      </c>
      <c r="R25" s="61">
        <f t="shared" si="30"/>
        <v>114976.30266666671</v>
      </c>
      <c r="S25" s="61">
        <f t="shared" si="30"/>
        <v>125551.83466666672</v>
      </c>
      <c r="T25" s="61">
        <f t="shared" si="30"/>
        <v>151627.36666666673</v>
      </c>
      <c r="U25" s="61">
        <f t="shared" si="30"/>
        <v>151702.89866666673</v>
      </c>
      <c r="V25" s="61">
        <f t="shared" si="30"/>
        <v>162278.43066666674</v>
      </c>
      <c r="W25" s="61">
        <f t="shared" si="30"/>
        <v>180353.96266666675</v>
      </c>
      <c r="X25" s="61">
        <f t="shared" si="30"/>
        <v>180429.49466666675</v>
      </c>
      <c r="Y25" s="61">
        <f t="shared" si="30"/>
        <v>106005.02666666676</v>
      </c>
      <c r="Z25" s="61">
        <f t="shared" si="30"/>
        <v>124080.55866666677</v>
      </c>
      <c r="AA25" s="61">
        <f t="shared" si="30"/>
        <v>124156.09066666677</v>
      </c>
      <c r="AC25" s="6" t="s">
        <v>268</v>
      </c>
      <c r="AD25" s="61">
        <f>AA25+AD18-AD23</f>
        <v>142262.99512666679</v>
      </c>
      <c r="AE25" s="61">
        <f t="shared" ref="AE25:AO25" si="31">AD25+AE18-AE23</f>
        <v>163619.89958666678</v>
      </c>
      <c r="AF25" s="61">
        <f t="shared" si="31"/>
        <v>166976.80404666677</v>
      </c>
      <c r="AG25" s="61">
        <f t="shared" si="31"/>
        <v>177083.70850666676</v>
      </c>
      <c r="AH25" s="61">
        <f t="shared" si="31"/>
        <v>206440.61296666675</v>
      </c>
      <c r="AI25" s="61">
        <f t="shared" si="31"/>
        <v>209797.51742666675</v>
      </c>
      <c r="AJ25" s="61">
        <f t="shared" si="31"/>
        <v>219904.42188666674</v>
      </c>
      <c r="AK25" s="61">
        <f t="shared" si="31"/>
        <v>241261.32634666673</v>
      </c>
      <c r="AL25" s="61">
        <f t="shared" si="31"/>
        <v>244618.23080666672</v>
      </c>
      <c r="AM25" s="61">
        <f t="shared" si="31"/>
        <v>177725.13526666671</v>
      </c>
      <c r="AN25" s="61">
        <f t="shared" si="31"/>
        <v>207082.0397266667</v>
      </c>
      <c r="AO25" s="61">
        <f t="shared" si="31"/>
        <v>210438.94418666669</v>
      </c>
    </row>
    <row r="26" spans="1:41" ht="14.25" customHeight="1"/>
    <row r="27" spans="1:41" ht="14.25" customHeight="1"/>
    <row r="28" spans="1:41" ht="14.25" customHeight="1"/>
    <row r="29" spans="1:41" ht="14.25" customHeight="1"/>
    <row r="30" spans="1:41" ht="14.25" customHeight="1">
      <c r="A30" s="6" t="s">
        <v>271</v>
      </c>
    </row>
    <row r="31" spans="1:41" ht="14.25" customHeight="1">
      <c r="A31" s="6" t="s">
        <v>280</v>
      </c>
    </row>
    <row r="32" spans="1:41" ht="14.25" customHeight="1">
      <c r="A32" s="6" t="s">
        <v>273</v>
      </c>
    </row>
    <row r="33" spans="1:7" ht="14.25" customHeight="1"/>
    <row r="34" spans="1:7" ht="14.25" customHeight="1">
      <c r="A34" s="6" t="s">
        <v>274</v>
      </c>
      <c r="B34" s="61">
        <v>7000000</v>
      </c>
    </row>
    <row r="35" spans="1:7" ht="14.25" customHeight="1">
      <c r="A35" s="6" t="s">
        <v>265</v>
      </c>
      <c r="B35" s="61">
        <v>3193450</v>
      </c>
    </row>
    <row r="36" spans="1:7" ht="14.25" customHeight="1">
      <c r="A36" s="6" t="s">
        <v>275</v>
      </c>
      <c r="B36" s="61">
        <f>B34-B35</f>
        <v>3806550</v>
      </c>
    </row>
    <row r="37" spans="1:7" ht="14.25" customHeight="1">
      <c r="A37" s="6" t="s">
        <v>276</v>
      </c>
      <c r="B37" s="61">
        <f>B36*0.35</f>
        <v>1332292.5</v>
      </c>
    </row>
    <row r="38" spans="1:7" ht="14.25" customHeight="1">
      <c r="A38" s="6" t="s">
        <v>277</v>
      </c>
      <c r="B38" s="61">
        <f>B36*0.65</f>
        <v>2474257.5</v>
      </c>
    </row>
    <row r="39" spans="1:7" ht="14.25" customHeight="1">
      <c r="A39" s="6" t="s">
        <v>278</v>
      </c>
    </row>
    <row r="40" spans="1:7" ht="14.25" customHeight="1"/>
    <row r="41" spans="1:7" ht="14.25" customHeight="1">
      <c r="B41" s="6">
        <v>2024</v>
      </c>
      <c r="C41" s="6">
        <v>2025</v>
      </c>
      <c r="D41" s="6">
        <v>2026</v>
      </c>
      <c r="E41" s="6">
        <v>2027</v>
      </c>
      <c r="F41" s="6">
        <v>2028</v>
      </c>
      <c r="G41" s="6">
        <v>2029</v>
      </c>
    </row>
    <row r="42" spans="1:7" ht="14.25" customHeight="1">
      <c r="B42" s="61">
        <v>-1300000</v>
      </c>
      <c r="C42" s="61">
        <f t="shared" ref="C42:E42" si="32">26000*4</f>
        <v>104000</v>
      </c>
      <c r="D42" s="61">
        <f t="shared" si="32"/>
        <v>104000</v>
      </c>
      <c r="E42" s="61">
        <f t="shared" si="32"/>
        <v>104000</v>
      </c>
      <c r="F42" s="61">
        <v>104000</v>
      </c>
      <c r="G42" s="61">
        <f>B38</f>
        <v>2474257.5</v>
      </c>
    </row>
    <row r="43" spans="1:7" ht="14.25" customHeight="1"/>
    <row r="44" spans="1:7" ht="14.25" customHeight="1">
      <c r="A44" s="6" t="s">
        <v>278</v>
      </c>
      <c r="B44" s="112">
        <f>IRR(B41:G42)</f>
        <v>0.19733168449234695</v>
      </c>
    </row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16.140625" customWidth="1"/>
    <col min="3" max="3" width="38.140625" customWidth="1"/>
    <col min="4" max="5" width="8.7109375" customWidth="1"/>
    <col min="6" max="6" width="14.5703125" customWidth="1"/>
    <col min="7" max="7" width="15.28515625" customWidth="1"/>
    <col min="8" max="8" width="27.5703125" customWidth="1"/>
    <col min="9" max="26" width="8.7109375" customWidth="1"/>
  </cols>
  <sheetData>
    <row r="1" spans="1:8" ht="14.2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38</v>
      </c>
      <c r="G1" s="16" t="s">
        <v>39</v>
      </c>
    </row>
    <row r="2" spans="1:8" ht="14.25" customHeight="1">
      <c r="A2" s="2" t="s">
        <v>40</v>
      </c>
      <c r="B2" s="2" t="s">
        <v>41</v>
      </c>
      <c r="C2" s="2" t="s">
        <v>42</v>
      </c>
      <c r="D2" s="2">
        <v>2660</v>
      </c>
      <c r="E2" s="3">
        <v>3.9899999999999998E-2</v>
      </c>
      <c r="F2" s="2">
        <v>16</v>
      </c>
      <c r="G2" s="5">
        <f t="shared" ref="G2:G11" si="0">D2*F2</f>
        <v>42560</v>
      </c>
    </row>
    <row r="3" spans="1:8" ht="14.25" customHeight="1">
      <c r="A3" s="2" t="s">
        <v>43</v>
      </c>
      <c r="B3" s="2" t="s">
        <v>41</v>
      </c>
      <c r="C3" s="2" t="s">
        <v>44</v>
      </c>
      <c r="D3" s="2">
        <v>6000</v>
      </c>
      <c r="E3" s="3">
        <v>0.09</v>
      </c>
      <c r="F3" s="2">
        <v>12</v>
      </c>
      <c r="G3" s="5">
        <f t="shared" si="0"/>
        <v>72000</v>
      </c>
      <c r="H3" s="2"/>
    </row>
    <row r="4" spans="1:8" ht="14.25" customHeight="1">
      <c r="A4" s="2">
        <v>113</v>
      </c>
      <c r="B4" s="2" t="s">
        <v>41</v>
      </c>
      <c r="C4" s="2" t="s">
        <v>45</v>
      </c>
      <c r="D4" s="2">
        <v>3000</v>
      </c>
      <c r="E4" s="3">
        <v>4.4999999999999998E-2</v>
      </c>
      <c r="F4" s="2">
        <v>0</v>
      </c>
      <c r="G4" s="5">
        <f t="shared" si="0"/>
        <v>0</v>
      </c>
    </row>
    <row r="5" spans="1:8" ht="14.25" customHeight="1">
      <c r="A5" s="2">
        <v>116</v>
      </c>
      <c r="B5" s="2" t="s">
        <v>41</v>
      </c>
      <c r="C5" s="2" t="s">
        <v>46</v>
      </c>
      <c r="D5" s="2">
        <v>2280</v>
      </c>
      <c r="E5" s="3">
        <v>3.4299999999999997E-2</v>
      </c>
      <c r="F5" s="2">
        <v>16</v>
      </c>
      <c r="G5" s="5">
        <f t="shared" si="0"/>
        <v>36480</v>
      </c>
    </row>
    <row r="6" spans="1:8" ht="14.25" customHeight="1">
      <c r="A6" s="2">
        <v>211</v>
      </c>
      <c r="B6" s="2" t="s">
        <v>41</v>
      </c>
      <c r="C6" s="2" t="s">
        <v>47</v>
      </c>
      <c r="D6" s="2">
        <v>2400</v>
      </c>
      <c r="E6" s="3">
        <v>3.5999999999999997E-2</v>
      </c>
      <c r="F6" s="2">
        <v>12</v>
      </c>
      <c r="G6" s="5">
        <f t="shared" si="0"/>
        <v>28800</v>
      </c>
    </row>
    <row r="7" spans="1:8" ht="14.25" customHeight="1">
      <c r="A7" s="2">
        <v>302</v>
      </c>
      <c r="B7" s="2" t="s">
        <v>41</v>
      </c>
      <c r="C7" s="2" t="s">
        <v>48</v>
      </c>
      <c r="D7" s="2">
        <v>1150</v>
      </c>
      <c r="E7" s="3">
        <v>1.72E-2</v>
      </c>
      <c r="F7" s="2">
        <v>10</v>
      </c>
      <c r="G7" s="5">
        <f t="shared" si="0"/>
        <v>11500</v>
      </c>
    </row>
    <row r="8" spans="1:8" ht="14.25" customHeight="1">
      <c r="A8" s="2">
        <v>307</v>
      </c>
      <c r="B8" s="2" t="s">
        <v>41</v>
      </c>
      <c r="C8" s="2" t="s">
        <v>48</v>
      </c>
      <c r="D8" s="2">
        <v>1460</v>
      </c>
      <c r="E8" s="3">
        <v>2.1899999999999999E-2</v>
      </c>
      <c r="F8" s="2">
        <v>10</v>
      </c>
      <c r="G8" s="5">
        <f t="shared" si="0"/>
        <v>14600</v>
      </c>
    </row>
    <row r="9" spans="1:8" ht="14.25" customHeight="1">
      <c r="A9" s="2" t="s">
        <v>49</v>
      </c>
      <c r="B9" s="2" t="s">
        <v>41</v>
      </c>
      <c r="C9" s="2" t="s">
        <v>48</v>
      </c>
      <c r="D9" s="2">
        <v>1180</v>
      </c>
      <c r="E9" s="3">
        <v>1.77E-2</v>
      </c>
      <c r="F9" s="2">
        <v>10</v>
      </c>
      <c r="G9" s="5">
        <f t="shared" si="0"/>
        <v>11800</v>
      </c>
    </row>
    <row r="10" spans="1:8" ht="14.25" customHeight="1">
      <c r="A10" s="2">
        <v>311</v>
      </c>
      <c r="B10" s="2" t="s">
        <v>41</v>
      </c>
      <c r="C10" s="2" t="s">
        <v>48</v>
      </c>
      <c r="D10" s="2">
        <v>1150</v>
      </c>
      <c r="E10" s="3">
        <v>1.7299999999999999E-2</v>
      </c>
      <c r="F10" s="2">
        <v>10</v>
      </c>
      <c r="G10" s="5">
        <f t="shared" si="0"/>
        <v>11500</v>
      </c>
    </row>
    <row r="11" spans="1:8" ht="14.25" customHeight="1">
      <c r="A11" s="2">
        <v>312</v>
      </c>
      <c r="B11" s="2" t="s">
        <v>41</v>
      </c>
      <c r="C11" s="2" t="s">
        <v>48</v>
      </c>
      <c r="D11" s="2">
        <v>1175</v>
      </c>
      <c r="E11" s="3">
        <f>1175/66000</f>
        <v>1.7803030303030303E-2</v>
      </c>
      <c r="F11" s="2">
        <v>10</v>
      </c>
      <c r="G11" s="5">
        <f t="shared" si="0"/>
        <v>11750</v>
      </c>
    </row>
    <row r="12" spans="1:8" ht="14.25" customHeight="1">
      <c r="E12" s="17">
        <f>SUM(E2:E11)</f>
        <v>0.33710303030303029</v>
      </c>
      <c r="F12" s="18"/>
      <c r="G12" s="19">
        <f>SUM(G2:G11)</f>
        <v>240990</v>
      </c>
    </row>
    <row r="13" spans="1:8" ht="14.25" customHeight="1"/>
    <row r="14" spans="1:8" ht="14.25" customHeight="1"/>
    <row r="15" spans="1:8" ht="14.25" customHeight="1"/>
    <row r="16" spans="1:8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0"/>
  <sheetViews>
    <sheetView workbookViewId="0"/>
  </sheetViews>
  <sheetFormatPr defaultColWidth="14.42578125" defaultRowHeight="15" customHeight="1"/>
  <cols>
    <col min="1" max="1" width="8.7109375" customWidth="1"/>
    <col min="2" max="2" width="15.85546875" customWidth="1"/>
    <col min="3" max="3" width="26.5703125" customWidth="1"/>
    <col min="4" max="4" width="8.7109375" customWidth="1"/>
    <col min="5" max="5" width="11.140625" customWidth="1"/>
    <col min="6" max="6" width="10.140625" customWidth="1"/>
    <col min="7" max="7" width="11.85546875" customWidth="1"/>
    <col min="8" max="8" width="11.140625" customWidth="1"/>
    <col min="9" max="9" width="11.28515625" customWidth="1"/>
    <col min="10" max="10" width="12.28515625" customWidth="1"/>
    <col min="11" max="13" width="8.7109375" customWidth="1"/>
    <col min="14" max="14" width="16" customWidth="1"/>
    <col min="15" max="15" width="8.7109375" customWidth="1"/>
    <col min="16" max="16" width="65.5703125" customWidth="1"/>
    <col min="17" max="26" width="8.7109375" customWidth="1"/>
  </cols>
  <sheetData>
    <row r="1" spans="1:15" ht="18" customHeight="1">
      <c r="A1" s="120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ht="14.25" customHeigh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51</v>
      </c>
      <c r="H2" s="20" t="s">
        <v>52</v>
      </c>
      <c r="I2" s="20" t="s">
        <v>53</v>
      </c>
      <c r="J2" s="20" t="s">
        <v>54</v>
      </c>
      <c r="K2" s="20" t="s">
        <v>55</v>
      </c>
      <c r="L2" s="20" t="s">
        <v>56</v>
      </c>
      <c r="M2" s="20" t="s">
        <v>57</v>
      </c>
      <c r="N2" s="20" t="s">
        <v>58</v>
      </c>
      <c r="O2" s="20" t="s">
        <v>59</v>
      </c>
    </row>
    <row r="3" spans="1:15" ht="14.25" customHeight="1">
      <c r="A3" s="10">
        <v>100</v>
      </c>
      <c r="B3" s="10" t="s">
        <v>60</v>
      </c>
      <c r="C3" s="10" t="s">
        <v>61</v>
      </c>
      <c r="D3" s="10" t="s">
        <v>62</v>
      </c>
      <c r="E3" s="10">
        <v>2.81E-2</v>
      </c>
      <c r="F3" s="10">
        <v>21</v>
      </c>
      <c r="G3" s="10">
        <v>39312</v>
      </c>
      <c r="H3" s="10">
        <v>3276</v>
      </c>
      <c r="I3" s="21">
        <v>44835</v>
      </c>
      <c r="J3" s="22"/>
      <c r="K3" s="10">
        <v>1</v>
      </c>
      <c r="L3" s="10"/>
      <c r="M3" s="10">
        <v>0</v>
      </c>
      <c r="N3" s="10" t="s">
        <v>63</v>
      </c>
      <c r="O3" s="10" t="s">
        <v>64</v>
      </c>
    </row>
    <row r="4" spans="1:15" ht="14.25" customHeight="1">
      <c r="A4" s="10">
        <v>101</v>
      </c>
      <c r="B4" s="10" t="s">
        <v>65</v>
      </c>
      <c r="C4" s="10" t="s">
        <v>66</v>
      </c>
      <c r="D4" s="10" t="s">
        <v>67</v>
      </c>
      <c r="E4" s="10">
        <v>1.0999999999999999E-2</v>
      </c>
      <c r="F4" s="10">
        <v>22.95</v>
      </c>
      <c r="G4" s="10">
        <v>16800</v>
      </c>
      <c r="H4" s="10">
        <v>1400</v>
      </c>
      <c r="I4" s="21">
        <v>43484</v>
      </c>
      <c r="J4" s="22"/>
      <c r="K4" s="10">
        <v>5</v>
      </c>
      <c r="L4" s="10" t="s">
        <v>68</v>
      </c>
      <c r="M4" s="10">
        <v>0</v>
      </c>
      <c r="N4" s="10" t="s">
        <v>63</v>
      </c>
      <c r="O4" s="10"/>
    </row>
    <row r="5" spans="1:15" ht="14.25" customHeight="1">
      <c r="A5" s="10" t="s">
        <v>40</v>
      </c>
      <c r="B5" s="10" t="s">
        <v>41</v>
      </c>
      <c r="C5" s="10" t="s">
        <v>69</v>
      </c>
      <c r="D5" s="10" t="s">
        <v>70</v>
      </c>
      <c r="E5" s="10">
        <v>3.9899999999999998E-2</v>
      </c>
      <c r="F5" s="10" t="s">
        <v>63</v>
      </c>
      <c r="G5" s="10"/>
      <c r="H5" s="10" t="s">
        <v>63</v>
      </c>
      <c r="I5" s="22"/>
      <c r="J5" s="22"/>
      <c r="K5" s="10"/>
      <c r="L5" s="10" t="s">
        <v>71</v>
      </c>
      <c r="M5" s="10">
        <v>0</v>
      </c>
      <c r="N5" s="10" t="s">
        <v>63</v>
      </c>
      <c r="O5" s="10"/>
    </row>
    <row r="6" spans="1:15" ht="14.25" customHeight="1">
      <c r="A6" s="10">
        <v>105</v>
      </c>
      <c r="B6" s="10" t="s">
        <v>72</v>
      </c>
      <c r="C6" s="10" t="s">
        <v>73</v>
      </c>
      <c r="D6" s="10" t="s">
        <v>74</v>
      </c>
      <c r="E6" s="10">
        <v>1.95E-2</v>
      </c>
      <c r="F6" s="10">
        <v>16</v>
      </c>
      <c r="G6" s="10">
        <v>20800</v>
      </c>
      <c r="H6" s="10">
        <v>1733</v>
      </c>
      <c r="I6" s="22"/>
      <c r="J6" s="22"/>
      <c r="K6" s="10"/>
      <c r="L6" s="10"/>
      <c r="M6" s="10"/>
      <c r="N6" s="10"/>
      <c r="O6" s="10"/>
    </row>
    <row r="7" spans="1:15" ht="14.25" customHeight="1">
      <c r="A7" s="10">
        <v>106</v>
      </c>
      <c r="B7" s="10" t="s">
        <v>75</v>
      </c>
      <c r="C7" s="10" t="s">
        <v>76</v>
      </c>
      <c r="D7" s="10" t="s">
        <v>77</v>
      </c>
      <c r="E7" s="10">
        <v>1.8599999999999998E-2</v>
      </c>
      <c r="F7" s="10">
        <v>12</v>
      </c>
      <c r="G7" s="10">
        <v>14880</v>
      </c>
      <c r="H7" s="10">
        <v>1240</v>
      </c>
      <c r="I7" s="21">
        <v>43497</v>
      </c>
      <c r="J7" s="22"/>
      <c r="K7" s="10">
        <v>5</v>
      </c>
      <c r="L7" s="10"/>
      <c r="M7" s="10"/>
      <c r="N7" s="10"/>
      <c r="O7" s="10" t="s">
        <v>78</v>
      </c>
    </row>
    <row r="8" spans="1:15" ht="14.25" customHeight="1">
      <c r="A8" s="10" t="s">
        <v>43</v>
      </c>
      <c r="B8" s="10" t="s">
        <v>41</v>
      </c>
      <c r="C8" s="10"/>
      <c r="D8" s="10">
        <f>4000+1270+1240</f>
        <v>6510</v>
      </c>
      <c r="E8" s="10">
        <v>5.9900000000000002E-2</v>
      </c>
      <c r="F8" s="10">
        <v>12</v>
      </c>
      <c r="G8" s="10"/>
      <c r="H8" s="10">
        <f>G8/12</f>
        <v>0</v>
      </c>
      <c r="I8" s="23"/>
      <c r="J8" s="23"/>
      <c r="K8" s="10"/>
      <c r="L8" s="10"/>
      <c r="M8" s="10"/>
      <c r="N8" s="10"/>
      <c r="O8" s="10"/>
    </row>
    <row r="9" spans="1:15" ht="14.25" customHeight="1">
      <c r="A9" s="10"/>
      <c r="B9" s="10"/>
      <c r="C9" s="10"/>
      <c r="D9" s="10"/>
      <c r="E9" s="10"/>
      <c r="F9" s="10"/>
      <c r="G9" s="10"/>
      <c r="H9" s="10"/>
      <c r="I9" s="22"/>
      <c r="J9" s="22"/>
      <c r="K9" s="10"/>
      <c r="L9" s="10"/>
      <c r="M9" s="10"/>
      <c r="N9" s="10"/>
      <c r="O9" s="10"/>
    </row>
    <row r="10" spans="1:15" ht="14.25" customHeight="1">
      <c r="A10" s="10">
        <v>112</v>
      </c>
      <c r="B10" s="10" t="s">
        <v>8</v>
      </c>
      <c r="C10" s="10" t="s">
        <v>9</v>
      </c>
      <c r="D10" s="10" t="s">
        <v>77</v>
      </c>
      <c r="E10" s="10">
        <v>1.8599999999999998E-2</v>
      </c>
      <c r="F10" s="10">
        <v>16</v>
      </c>
      <c r="G10" s="10">
        <v>19836</v>
      </c>
      <c r="H10" s="10">
        <v>1653</v>
      </c>
      <c r="I10" s="21">
        <v>45261</v>
      </c>
      <c r="J10" s="21">
        <v>45657</v>
      </c>
      <c r="K10" s="10"/>
      <c r="L10" s="10"/>
      <c r="M10" s="10"/>
      <c r="N10" s="10"/>
      <c r="O10" s="10"/>
    </row>
    <row r="11" spans="1:15" ht="14.25" customHeight="1">
      <c r="A11" s="10">
        <v>113</v>
      </c>
      <c r="B11" s="10" t="s">
        <v>41</v>
      </c>
      <c r="C11" s="10" t="s">
        <v>45</v>
      </c>
      <c r="D11" s="10" t="s">
        <v>79</v>
      </c>
      <c r="E11" s="10">
        <v>4.4999999999999998E-2</v>
      </c>
      <c r="F11" s="10" t="s">
        <v>63</v>
      </c>
      <c r="G11" s="10" t="s">
        <v>63</v>
      </c>
      <c r="H11" s="10" t="s">
        <v>63</v>
      </c>
      <c r="I11" s="22"/>
      <c r="J11" s="22"/>
      <c r="K11" s="10"/>
      <c r="L11" s="10"/>
      <c r="M11" s="10"/>
      <c r="N11" s="10"/>
      <c r="O11" s="10"/>
    </row>
    <row r="12" spans="1:15" ht="14.25" customHeight="1">
      <c r="A12" s="10">
        <v>114</v>
      </c>
      <c r="B12" s="10" t="s">
        <v>80</v>
      </c>
      <c r="C12" s="10" t="s">
        <v>81</v>
      </c>
      <c r="D12" s="10" t="s">
        <v>82</v>
      </c>
      <c r="E12" s="10">
        <v>3.0200000000000001E-2</v>
      </c>
      <c r="F12" s="10">
        <v>10</v>
      </c>
      <c r="G12" s="10">
        <v>20140</v>
      </c>
      <c r="H12" s="10">
        <v>1678</v>
      </c>
      <c r="I12" s="23">
        <v>45170</v>
      </c>
      <c r="J12" s="23">
        <v>45535</v>
      </c>
      <c r="K12" s="10"/>
      <c r="L12" s="10"/>
      <c r="M12" s="10"/>
      <c r="N12" s="10"/>
      <c r="O12" s="10"/>
    </row>
    <row r="13" spans="1:15" ht="14.25" customHeight="1">
      <c r="A13" s="10">
        <v>115</v>
      </c>
      <c r="B13" s="10" t="s">
        <v>10</v>
      </c>
      <c r="C13" s="10" t="s">
        <v>11</v>
      </c>
      <c r="D13" s="10" t="s">
        <v>83</v>
      </c>
      <c r="E13" s="10">
        <v>1.9800000000000002E-2</v>
      </c>
      <c r="F13" s="10">
        <v>15.01</v>
      </c>
      <c r="G13" s="10">
        <v>19800</v>
      </c>
      <c r="H13" s="10">
        <v>1650</v>
      </c>
      <c r="I13" s="22"/>
      <c r="J13" s="22"/>
      <c r="K13" s="10"/>
      <c r="L13" s="10"/>
      <c r="M13" s="10"/>
      <c r="N13" s="10"/>
      <c r="O13" s="10"/>
    </row>
    <row r="14" spans="1:15" ht="14.25" customHeight="1">
      <c r="A14" s="10">
        <v>116</v>
      </c>
      <c r="B14" s="10" t="s">
        <v>41</v>
      </c>
      <c r="C14" s="10" t="s">
        <v>69</v>
      </c>
      <c r="D14" s="10" t="s">
        <v>84</v>
      </c>
      <c r="E14" s="10">
        <v>3.4299999999999997E-2</v>
      </c>
      <c r="F14" s="10" t="s">
        <v>63</v>
      </c>
      <c r="G14" s="10" t="s">
        <v>63</v>
      </c>
      <c r="H14" s="10" t="s">
        <v>63</v>
      </c>
      <c r="I14" s="22"/>
      <c r="J14" s="22"/>
      <c r="K14" s="10"/>
      <c r="L14" s="10"/>
      <c r="M14" s="10"/>
      <c r="N14" s="10"/>
      <c r="O14" s="10"/>
    </row>
    <row r="15" spans="1:15" ht="14.25" customHeight="1">
      <c r="A15" s="10">
        <v>117</v>
      </c>
      <c r="B15" s="10" t="s">
        <v>85</v>
      </c>
      <c r="C15" s="10" t="s">
        <v>86</v>
      </c>
      <c r="D15" s="10" t="s">
        <v>87</v>
      </c>
      <c r="E15" s="10">
        <v>4.7199999999999999E-2</v>
      </c>
      <c r="F15" s="10">
        <v>22.87</v>
      </c>
      <c r="G15" s="10">
        <v>72000</v>
      </c>
      <c r="H15" s="10">
        <v>6000</v>
      </c>
      <c r="I15" s="21">
        <v>42952</v>
      </c>
      <c r="J15" s="22"/>
      <c r="K15" s="10">
        <v>10</v>
      </c>
      <c r="L15" s="10"/>
      <c r="M15" s="10"/>
      <c r="N15" s="10"/>
      <c r="O15" s="10" t="s">
        <v>88</v>
      </c>
    </row>
    <row r="16" spans="1:15" ht="14.25" customHeight="1">
      <c r="A16" s="10" t="s">
        <v>33</v>
      </c>
      <c r="B16" s="10" t="s">
        <v>89</v>
      </c>
      <c r="C16" s="10" t="s">
        <v>90</v>
      </c>
      <c r="D16" s="10" t="s">
        <v>91</v>
      </c>
      <c r="E16" s="10">
        <v>0.10639999999999999</v>
      </c>
      <c r="F16" s="10">
        <v>17.010000000000002</v>
      </c>
      <c r="G16" s="10">
        <v>120800</v>
      </c>
      <c r="H16" s="10">
        <v>10067</v>
      </c>
      <c r="I16" s="21">
        <v>45231</v>
      </c>
      <c r="J16" s="23">
        <v>47057</v>
      </c>
      <c r="K16" s="10">
        <v>5</v>
      </c>
      <c r="L16" s="10"/>
      <c r="M16" s="10"/>
      <c r="N16" s="10"/>
      <c r="O16" s="10"/>
    </row>
    <row r="17" spans="1:15" ht="14.25" customHeight="1">
      <c r="A17" s="10" t="s">
        <v>92</v>
      </c>
      <c r="B17" s="10" t="s">
        <v>93</v>
      </c>
      <c r="C17" s="10" t="s">
        <v>94</v>
      </c>
      <c r="D17" s="10" t="s">
        <v>95</v>
      </c>
      <c r="E17" s="10">
        <v>3.6700000000000003E-2</v>
      </c>
      <c r="F17" s="10">
        <v>6.24</v>
      </c>
      <c r="G17" s="10">
        <v>15300</v>
      </c>
      <c r="H17" s="10">
        <v>1275</v>
      </c>
      <c r="I17" s="21">
        <v>42278</v>
      </c>
      <c r="J17" s="22"/>
      <c r="K17" s="10">
        <v>5</v>
      </c>
      <c r="L17" s="10" t="s">
        <v>96</v>
      </c>
      <c r="M17" s="10"/>
      <c r="N17" s="10"/>
      <c r="O17" s="10"/>
    </row>
    <row r="18" spans="1:15" ht="14.25" customHeight="1">
      <c r="A18" s="10">
        <v>210</v>
      </c>
      <c r="B18" s="10" t="s">
        <v>97</v>
      </c>
      <c r="C18" s="10" t="s">
        <v>98</v>
      </c>
      <c r="D18" s="10" t="s">
        <v>99</v>
      </c>
      <c r="E18" s="10">
        <v>1.8200000000000001E-2</v>
      </c>
      <c r="F18" s="10">
        <v>11.6</v>
      </c>
      <c r="G18" s="10">
        <v>14100</v>
      </c>
      <c r="H18" s="10">
        <v>1175</v>
      </c>
      <c r="I18" s="21">
        <v>43344</v>
      </c>
      <c r="J18" s="22"/>
      <c r="K18" s="10">
        <v>3</v>
      </c>
      <c r="L18" s="10" t="s">
        <v>96</v>
      </c>
      <c r="M18" s="10"/>
      <c r="N18" s="10"/>
      <c r="O18" s="10"/>
    </row>
    <row r="19" spans="1:15" ht="14.25" customHeight="1">
      <c r="A19" s="10">
        <v>211</v>
      </c>
      <c r="B19" s="10" t="s">
        <v>41</v>
      </c>
      <c r="C19" s="10" t="s">
        <v>100</v>
      </c>
      <c r="D19" s="10" t="s">
        <v>101</v>
      </c>
      <c r="E19" s="10">
        <v>3.5999999999999997E-2</v>
      </c>
      <c r="F19" s="10" t="s">
        <v>63</v>
      </c>
      <c r="G19" s="10" t="s">
        <v>63</v>
      </c>
      <c r="H19" s="10" t="s">
        <v>63</v>
      </c>
      <c r="I19" s="22"/>
      <c r="J19" s="22"/>
      <c r="K19" s="10"/>
      <c r="L19" s="10"/>
      <c r="M19" s="10"/>
      <c r="N19" s="10"/>
      <c r="O19" s="10"/>
    </row>
    <row r="20" spans="1:15" ht="14.25" customHeight="1">
      <c r="A20" s="10">
        <v>212</v>
      </c>
      <c r="B20" s="10" t="s">
        <v>12</v>
      </c>
      <c r="C20" s="10" t="s">
        <v>13</v>
      </c>
      <c r="D20" s="10" t="s">
        <v>102</v>
      </c>
      <c r="E20" s="10">
        <v>1.8700000000000001E-2</v>
      </c>
      <c r="F20" s="10">
        <v>11.57</v>
      </c>
      <c r="G20" s="10">
        <v>14400</v>
      </c>
      <c r="H20" s="10">
        <v>1200</v>
      </c>
      <c r="I20" s="21">
        <v>45146</v>
      </c>
      <c r="J20" s="21">
        <v>45512</v>
      </c>
      <c r="K20" s="10">
        <v>1</v>
      </c>
      <c r="L20" s="10"/>
      <c r="M20" s="10"/>
      <c r="N20" s="10"/>
      <c r="O20" s="10"/>
    </row>
    <row r="21" spans="1:15" ht="14.25" customHeight="1">
      <c r="A21" s="10">
        <v>213</v>
      </c>
      <c r="B21" s="10" t="s">
        <v>14</v>
      </c>
      <c r="C21" s="10" t="s">
        <v>15</v>
      </c>
      <c r="D21" s="10" t="s">
        <v>77</v>
      </c>
      <c r="E21" s="10">
        <v>1.8599999999999998E-2</v>
      </c>
      <c r="F21" s="10">
        <v>10.65</v>
      </c>
      <c r="G21" s="10">
        <v>13200</v>
      </c>
      <c r="H21" s="10">
        <v>1100</v>
      </c>
      <c r="I21" s="21">
        <v>45179</v>
      </c>
      <c r="J21" s="21">
        <v>45596</v>
      </c>
      <c r="K21" s="10">
        <v>1</v>
      </c>
      <c r="L21" s="10"/>
      <c r="M21" s="10"/>
      <c r="N21" s="10"/>
      <c r="O21" s="10"/>
    </row>
    <row r="22" spans="1:15" ht="14.25" customHeight="1">
      <c r="A22" s="10" t="s">
        <v>16</v>
      </c>
      <c r="B22" s="10" t="s">
        <v>17</v>
      </c>
      <c r="C22" s="10" t="s">
        <v>18</v>
      </c>
      <c r="D22" s="10" t="s">
        <v>103</v>
      </c>
      <c r="E22" s="10">
        <v>2.7400000000000001E-2</v>
      </c>
      <c r="F22" s="10">
        <v>10.72</v>
      </c>
      <c r="G22" s="10">
        <v>19596</v>
      </c>
      <c r="H22" s="10">
        <v>1633</v>
      </c>
      <c r="I22" s="21">
        <v>45231</v>
      </c>
      <c r="J22" s="21">
        <v>45626</v>
      </c>
      <c r="K22" s="10">
        <v>1</v>
      </c>
      <c r="L22" s="10"/>
      <c r="M22" s="10"/>
      <c r="N22" s="10"/>
      <c r="O22" s="10"/>
    </row>
    <row r="23" spans="1:15" ht="14.25" customHeight="1">
      <c r="A23" s="10">
        <v>216</v>
      </c>
      <c r="B23" s="10" t="s">
        <v>104</v>
      </c>
      <c r="C23" s="10" t="s">
        <v>105</v>
      </c>
      <c r="D23" s="10" t="s">
        <v>106</v>
      </c>
      <c r="E23" s="10">
        <v>2.7199999999999998E-2</v>
      </c>
      <c r="F23" s="10">
        <v>8.19</v>
      </c>
      <c r="G23" s="10">
        <v>18180</v>
      </c>
      <c r="H23" s="10">
        <v>1240</v>
      </c>
      <c r="I23" s="21">
        <v>45261</v>
      </c>
      <c r="J23" s="23">
        <v>45626</v>
      </c>
      <c r="K23" s="10">
        <v>1</v>
      </c>
      <c r="L23" s="10"/>
      <c r="M23" s="10"/>
      <c r="N23" s="10"/>
      <c r="O23" s="10"/>
    </row>
    <row r="24" spans="1:15" ht="14.25" customHeight="1">
      <c r="A24" s="10">
        <v>218</v>
      </c>
      <c r="B24" s="10" t="s">
        <v>41</v>
      </c>
      <c r="C24" s="10" t="s">
        <v>107</v>
      </c>
      <c r="D24" s="10" t="s">
        <v>108</v>
      </c>
      <c r="E24" s="24">
        <f>1800/66000</f>
        <v>2.7272727272727271E-2</v>
      </c>
      <c r="F24" s="10"/>
      <c r="G24" s="10"/>
      <c r="H24" s="10"/>
      <c r="I24" s="21"/>
      <c r="J24" s="22"/>
      <c r="K24" s="10"/>
      <c r="L24" s="10"/>
      <c r="M24" s="10"/>
      <c r="N24" s="10"/>
      <c r="O24" s="10"/>
    </row>
    <row r="25" spans="1:15" ht="14.25" customHeight="1">
      <c r="A25" s="10">
        <v>301</v>
      </c>
      <c r="B25" s="10" t="s">
        <v>19</v>
      </c>
      <c r="C25" s="10" t="s">
        <v>20</v>
      </c>
      <c r="D25" s="10" t="s">
        <v>109</v>
      </c>
      <c r="E25" s="10">
        <v>2.69E-2</v>
      </c>
      <c r="F25" s="10">
        <v>9.36</v>
      </c>
      <c r="G25" s="10">
        <v>16800</v>
      </c>
      <c r="H25" s="10">
        <v>1400</v>
      </c>
      <c r="I25" s="21">
        <v>45200</v>
      </c>
      <c r="J25" s="21">
        <v>45565</v>
      </c>
      <c r="K25" s="10">
        <v>1</v>
      </c>
      <c r="L25" s="10"/>
      <c r="M25" s="10"/>
      <c r="N25" s="10"/>
      <c r="O25" s="10"/>
    </row>
    <row r="26" spans="1:15" ht="14.25" customHeight="1">
      <c r="A26" s="10">
        <v>302</v>
      </c>
      <c r="B26" s="10" t="s">
        <v>41</v>
      </c>
      <c r="C26" s="10" t="s">
        <v>110</v>
      </c>
      <c r="D26" s="10" t="s">
        <v>111</v>
      </c>
      <c r="E26" s="10">
        <v>1.72E-2</v>
      </c>
      <c r="F26" s="10" t="s">
        <v>63</v>
      </c>
      <c r="G26" s="10"/>
      <c r="H26" s="10" t="s">
        <v>63</v>
      </c>
      <c r="I26" s="22"/>
      <c r="J26" s="22"/>
      <c r="K26" s="10"/>
      <c r="L26" s="10"/>
      <c r="M26" s="10"/>
      <c r="N26" s="10"/>
      <c r="O26" s="10"/>
    </row>
    <row r="27" spans="1:15" ht="14.25" customHeight="1">
      <c r="A27" s="10">
        <v>305</v>
      </c>
      <c r="B27" s="10" t="s">
        <v>21</v>
      </c>
      <c r="C27" s="10" t="s">
        <v>22</v>
      </c>
      <c r="D27" s="10" t="s">
        <v>112</v>
      </c>
      <c r="E27" s="10">
        <v>1.7000000000000001E-2</v>
      </c>
      <c r="F27" s="10">
        <v>17.3</v>
      </c>
      <c r="G27" s="10">
        <v>19596</v>
      </c>
      <c r="H27" s="10">
        <v>1633</v>
      </c>
      <c r="I27" s="21">
        <v>45261</v>
      </c>
      <c r="J27" s="21">
        <v>45657</v>
      </c>
      <c r="K27" s="10">
        <v>1</v>
      </c>
      <c r="L27" s="10"/>
      <c r="M27" s="10"/>
      <c r="N27" s="10"/>
      <c r="O27" s="10"/>
    </row>
    <row r="28" spans="1:15" ht="14.25" customHeight="1">
      <c r="A28" s="10">
        <v>307</v>
      </c>
      <c r="B28" s="10" t="s">
        <v>41</v>
      </c>
      <c r="C28" s="10" t="s">
        <v>113</v>
      </c>
      <c r="D28" s="10" t="s">
        <v>114</v>
      </c>
      <c r="E28" s="10">
        <v>2.1899999999999999E-2</v>
      </c>
      <c r="F28" s="10" t="s">
        <v>63</v>
      </c>
      <c r="G28" s="10"/>
      <c r="H28" s="10" t="s">
        <v>63</v>
      </c>
      <c r="I28" s="22"/>
      <c r="J28" s="22"/>
      <c r="K28" s="10"/>
      <c r="L28" s="10"/>
      <c r="M28" s="10"/>
      <c r="N28" s="10"/>
      <c r="O28" s="10"/>
    </row>
    <row r="29" spans="1:15" ht="14.25" customHeight="1">
      <c r="A29" s="10">
        <v>308</v>
      </c>
      <c r="B29" s="10" t="s">
        <v>115</v>
      </c>
      <c r="C29" s="10" t="s">
        <v>116</v>
      </c>
      <c r="D29" s="10" t="s">
        <v>117</v>
      </c>
      <c r="E29" s="10">
        <v>2.35E-2</v>
      </c>
      <c r="F29" s="25">
        <f>G29/1566</f>
        <v>8.773946360153257</v>
      </c>
      <c r="G29" s="10">
        <f>H29*12</f>
        <v>13740</v>
      </c>
      <c r="H29" s="10">
        <v>1145</v>
      </c>
      <c r="I29" s="23">
        <v>45292</v>
      </c>
      <c r="J29" s="23">
        <v>45658</v>
      </c>
      <c r="K29" s="10"/>
      <c r="L29" s="10"/>
      <c r="M29" s="10"/>
      <c r="N29" s="10"/>
      <c r="O29" s="10"/>
    </row>
    <row r="30" spans="1:15" ht="14.25" customHeight="1">
      <c r="A30" s="10" t="s">
        <v>49</v>
      </c>
      <c r="B30" s="10" t="s">
        <v>41</v>
      </c>
      <c r="C30" s="10" t="s">
        <v>118</v>
      </c>
      <c r="D30" s="10" t="s">
        <v>119</v>
      </c>
      <c r="E30" s="10">
        <v>1.77E-2</v>
      </c>
      <c r="F30" s="10" t="s">
        <v>63</v>
      </c>
      <c r="G30" s="10"/>
      <c r="H30" s="10" t="s">
        <v>63</v>
      </c>
      <c r="I30" s="22"/>
      <c r="J30" s="22"/>
      <c r="K30" s="10"/>
      <c r="L30" s="10"/>
      <c r="M30" s="10"/>
      <c r="N30" s="10"/>
      <c r="O30" s="10"/>
    </row>
    <row r="31" spans="1:15" ht="14.25" customHeight="1">
      <c r="A31" s="10">
        <v>311</v>
      </c>
      <c r="B31" s="10" t="s">
        <v>41</v>
      </c>
      <c r="C31" s="10" t="s">
        <v>120</v>
      </c>
      <c r="D31" s="10" t="s">
        <v>121</v>
      </c>
      <c r="E31" s="10">
        <v>1.7299999999999999E-2</v>
      </c>
      <c r="F31" s="10" t="s">
        <v>63</v>
      </c>
      <c r="G31" s="10"/>
      <c r="H31" s="10" t="s">
        <v>63</v>
      </c>
      <c r="I31" s="22"/>
      <c r="J31" s="22"/>
      <c r="K31" s="10"/>
      <c r="L31" s="10"/>
      <c r="M31" s="10"/>
      <c r="N31" s="10"/>
      <c r="O31" s="10"/>
    </row>
    <row r="32" spans="1:15" ht="14.25" customHeight="1">
      <c r="A32" s="10">
        <v>312</v>
      </c>
      <c r="B32" s="10" t="s">
        <v>41</v>
      </c>
      <c r="C32" s="10" t="s">
        <v>120</v>
      </c>
      <c r="D32" s="10" t="s">
        <v>122</v>
      </c>
      <c r="E32" s="10">
        <v>1.7600000000000001E-2</v>
      </c>
      <c r="F32" s="10" t="s">
        <v>63</v>
      </c>
      <c r="G32" s="10"/>
      <c r="H32" s="10" t="s">
        <v>63</v>
      </c>
      <c r="I32" s="23">
        <v>45323</v>
      </c>
      <c r="J32" s="23">
        <v>46418</v>
      </c>
      <c r="K32" s="10">
        <v>3</v>
      </c>
      <c r="L32" s="10"/>
      <c r="M32" s="10"/>
      <c r="N32" s="10"/>
      <c r="O32" s="10"/>
    </row>
    <row r="33" spans="1:16" ht="14.25" customHeight="1">
      <c r="A33" s="10">
        <v>330</v>
      </c>
      <c r="B33" s="10" t="s">
        <v>19</v>
      </c>
      <c r="C33" s="10" t="s">
        <v>20</v>
      </c>
      <c r="D33" s="10" t="s">
        <v>123</v>
      </c>
      <c r="E33" s="10">
        <v>4.2900000000000001E-2</v>
      </c>
      <c r="F33" s="10" t="s">
        <v>63</v>
      </c>
      <c r="G33" s="10">
        <v>28000</v>
      </c>
      <c r="H33" s="10">
        <f>28000/12</f>
        <v>2333.3333333333335</v>
      </c>
      <c r="I33" s="22"/>
      <c r="J33" s="22"/>
      <c r="K33" s="10"/>
      <c r="L33" s="10"/>
      <c r="M33" s="10"/>
      <c r="N33" s="10"/>
      <c r="O33" s="10"/>
    </row>
    <row r="34" spans="1:16" ht="14.25" customHeight="1">
      <c r="A34" s="10">
        <v>710</v>
      </c>
      <c r="B34" s="10" t="s">
        <v>124</v>
      </c>
      <c r="C34" s="10" t="s">
        <v>125</v>
      </c>
      <c r="D34" s="10" t="s">
        <v>126</v>
      </c>
      <c r="E34" s="10">
        <v>4.65E-2</v>
      </c>
      <c r="F34" s="10">
        <v>12</v>
      </c>
      <c r="G34" s="10">
        <v>37200</v>
      </c>
      <c r="H34" s="10">
        <v>3100</v>
      </c>
      <c r="I34" s="22"/>
      <c r="J34" s="22"/>
      <c r="K34" s="10">
        <v>3</v>
      </c>
      <c r="L34" s="10"/>
      <c r="M34" s="10"/>
      <c r="N34" s="10"/>
      <c r="O34" s="10"/>
    </row>
    <row r="35" spans="1:16" ht="14.25" customHeight="1">
      <c r="A35" s="10">
        <v>712</v>
      </c>
      <c r="B35" s="10" t="s">
        <v>124</v>
      </c>
      <c r="C35" s="10" t="s">
        <v>125</v>
      </c>
      <c r="D35" s="10" t="s">
        <v>127</v>
      </c>
      <c r="E35" s="10">
        <v>5.9900000000000002E-2</v>
      </c>
      <c r="F35" s="10">
        <v>12</v>
      </c>
      <c r="G35" s="10">
        <v>48000</v>
      </c>
      <c r="H35" s="10">
        <v>4000</v>
      </c>
      <c r="I35" s="21">
        <v>44896</v>
      </c>
      <c r="J35" s="22"/>
      <c r="K35" s="10">
        <v>3</v>
      </c>
      <c r="L35" s="10"/>
      <c r="M35" s="10"/>
      <c r="N35" s="10"/>
      <c r="O35" s="10" t="s">
        <v>128</v>
      </c>
    </row>
    <row r="36" spans="1:16" ht="14.25" customHeight="1">
      <c r="A36" s="10" t="s">
        <v>129</v>
      </c>
      <c r="B36" s="10" t="s">
        <v>130</v>
      </c>
      <c r="C36" s="10" t="s">
        <v>131</v>
      </c>
      <c r="D36" s="10" t="s">
        <v>132</v>
      </c>
      <c r="E36" s="10"/>
      <c r="F36" s="10"/>
      <c r="G36" s="10">
        <v>2640</v>
      </c>
      <c r="H36" s="10">
        <f>G36/12</f>
        <v>220</v>
      </c>
      <c r="I36" s="22"/>
      <c r="J36" s="22"/>
      <c r="K36" s="10" t="s">
        <v>133</v>
      </c>
      <c r="L36" s="10"/>
      <c r="M36" s="10"/>
      <c r="N36" s="10"/>
      <c r="O36" s="10"/>
    </row>
    <row r="37" spans="1:16" ht="14.25" customHeight="1">
      <c r="A37" s="26" t="s">
        <v>25</v>
      </c>
      <c r="B37" s="26" t="s">
        <v>26</v>
      </c>
      <c r="C37" s="26" t="s">
        <v>27</v>
      </c>
      <c r="D37" s="26"/>
      <c r="E37" s="26"/>
      <c r="F37" s="26"/>
      <c r="G37" s="26">
        <v>10200</v>
      </c>
      <c r="H37" s="26">
        <v>850</v>
      </c>
      <c r="I37" s="27">
        <v>45156</v>
      </c>
      <c r="J37" s="27">
        <v>45522</v>
      </c>
      <c r="K37" s="26">
        <v>1</v>
      </c>
      <c r="L37" s="26"/>
      <c r="M37" s="26"/>
      <c r="N37" s="26"/>
      <c r="O37" s="26"/>
      <c r="P37" s="28"/>
    </row>
    <row r="38" spans="1:16" ht="14.25" customHeight="1">
      <c r="A38" s="10"/>
      <c r="B38" s="10"/>
      <c r="C38" s="10"/>
      <c r="D38" s="10" t="s">
        <v>134</v>
      </c>
      <c r="E38" s="10">
        <v>0.99</v>
      </c>
      <c r="F38" s="10"/>
      <c r="G38" s="12">
        <f t="shared" ref="G38:H38" si="0">SUM(G3:G37)</f>
        <v>615320</v>
      </c>
      <c r="H38" s="12">
        <f t="shared" si="0"/>
        <v>51001.333333333336</v>
      </c>
      <c r="I38" s="10"/>
      <c r="J38" s="10"/>
      <c r="K38" s="10"/>
      <c r="L38" s="10"/>
      <c r="M38" s="10"/>
      <c r="N38" s="10"/>
      <c r="O38" s="10"/>
    </row>
    <row r="39" spans="1:16" ht="79.5" customHeight="1">
      <c r="A39" s="10"/>
      <c r="B39" s="10"/>
      <c r="C39" s="10" t="s">
        <v>135</v>
      </c>
      <c r="D39" s="10" t="s">
        <v>136</v>
      </c>
      <c r="E39" s="10"/>
      <c r="F39" s="10"/>
      <c r="G39" s="29"/>
      <c r="H39" s="10"/>
      <c r="I39" s="10"/>
      <c r="J39" s="10"/>
      <c r="K39" s="10"/>
      <c r="L39" s="10"/>
      <c r="M39" s="10"/>
      <c r="N39" s="10"/>
      <c r="O39" s="10"/>
    </row>
    <row r="40" spans="1:16" ht="14.25" customHeight="1">
      <c r="A40" s="10"/>
      <c r="B40" s="10"/>
      <c r="C40" s="10" t="s">
        <v>135</v>
      </c>
      <c r="D40" s="10">
        <v>0.39603030299999997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6" ht="14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6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6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6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6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6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6" ht="14.25" customHeight="1"/>
    <row r="48" spans="1:1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O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workbookViewId="0">
      <selection activeCell="H48" sqref="H48"/>
    </sheetView>
  </sheetViews>
  <sheetFormatPr defaultColWidth="14.42578125" defaultRowHeight="15" customHeight="1"/>
  <cols>
    <col min="1" max="1" width="28.28515625" customWidth="1"/>
    <col min="2" max="2" width="15" customWidth="1"/>
    <col min="3" max="3" width="12.140625" customWidth="1"/>
    <col min="4" max="4" width="28.28515625" customWidth="1"/>
    <col min="5" max="5" width="14.5703125" customWidth="1"/>
    <col min="6" max="6" width="10.7109375" customWidth="1"/>
    <col min="7" max="7" width="28.28515625" customWidth="1"/>
    <col min="8" max="8" width="15" customWidth="1"/>
    <col min="9" max="11" width="8.28515625" customWidth="1"/>
    <col min="12" max="26" width="11.85546875" customWidth="1"/>
  </cols>
  <sheetData>
    <row r="1" spans="1:11" ht="12.75" customHeight="1">
      <c r="A1" s="30"/>
      <c r="B1" s="30"/>
      <c r="D1" s="30"/>
      <c r="E1" s="30"/>
      <c r="G1" s="30"/>
      <c r="H1" s="30"/>
      <c r="K1" s="31" t="s">
        <v>137</v>
      </c>
    </row>
    <row r="2" spans="1:11" ht="12.75" customHeight="1">
      <c r="D2" s="32" t="s">
        <v>138</v>
      </c>
      <c r="E2" s="33" t="s">
        <v>139</v>
      </c>
      <c r="F2" s="34"/>
      <c r="G2" s="35"/>
    </row>
    <row r="3" spans="1:11" ht="12.75" customHeight="1">
      <c r="D3" s="32" t="s">
        <v>140</v>
      </c>
      <c r="E3" s="36" t="s">
        <v>141</v>
      </c>
      <c r="F3" s="34"/>
      <c r="G3" s="35"/>
    </row>
    <row r="4" spans="1:11" ht="12.75" customHeight="1">
      <c r="D4" s="32" t="s">
        <v>142</v>
      </c>
      <c r="E4" s="35" t="s">
        <v>143</v>
      </c>
      <c r="F4" s="34"/>
      <c r="G4" s="35"/>
    </row>
    <row r="5" spans="1:11" ht="12.75" customHeight="1">
      <c r="A5" s="30"/>
      <c r="B5" s="30"/>
      <c r="D5" s="32" t="s">
        <v>144</v>
      </c>
      <c r="E5" s="35" t="s">
        <v>145</v>
      </c>
      <c r="F5" s="35"/>
      <c r="G5" s="35"/>
      <c r="H5" s="30"/>
    </row>
    <row r="6" spans="1:11" ht="12.75" customHeight="1">
      <c r="A6" s="30"/>
      <c r="B6" s="30"/>
      <c r="D6" s="30"/>
      <c r="E6" s="30"/>
      <c r="G6" s="30"/>
      <c r="H6" s="30"/>
    </row>
    <row r="7" spans="1:11" ht="12.75" customHeight="1">
      <c r="A7" s="123" t="s">
        <v>146</v>
      </c>
      <c r="B7" s="124"/>
      <c r="D7" s="123" t="s">
        <v>147</v>
      </c>
      <c r="E7" s="124"/>
      <c r="G7" s="123" t="s">
        <v>281</v>
      </c>
      <c r="H7" s="124"/>
    </row>
    <row r="8" spans="1:11" ht="12.75" customHeight="1">
      <c r="A8" s="37" t="s">
        <v>149</v>
      </c>
      <c r="B8" s="38">
        <v>4500000</v>
      </c>
      <c r="D8" s="37" t="s">
        <v>149</v>
      </c>
      <c r="E8" s="38">
        <v>4500000</v>
      </c>
      <c r="G8" s="37" t="s">
        <v>149</v>
      </c>
      <c r="H8" s="38">
        <v>4500000</v>
      </c>
    </row>
    <row r="9" spans="1:11" ht="12.75" customHeight="1">
      <c r="A9" s="37" t="s">
        <v>150</v>
      </c>
      <c r="B9" s="39">
        <v>0.2</v>
      </c>
      <c r="D9" s="37" t="s">
        <v>150</v>
      </c>
      <c r="E9" s="39">
        <v>0.25</v>
      </c>
      <c r="G9" s="37" t="s">
        <v>150</v>
      </c>
      <c r="H9" s="39">
        <v>0.25</v>
      </c>
    </row>
    <row r="10" spans="1:11" ht="12.75" customHeight="1">
      <c r="A10" s="37" t="s">
        <v>151</v>
      </c>
      <c r="B10" s="40">
        <f>B8*B9</f>
        <v>900000</v>
      </c>
      <c r="C10" s="41"/>
      <c r="D10" s="37" t="s">
        <v>151</v>
      </c>
      <c r="E10" s="40">
        <f>E8*E9</f>
        <v>1125000</v>
      </c>
      <c r="F10" s="41"/>
      <c r="G10" s="37" t="s">
        <v>151</v>
      </c>
      <c r="H10" s="40">
        <f>H8*H9</f>
        <v>1125000</v>
      </c>
    </row>
    <row r="11" spans="1:11" ht="12.75" customHeight="1">
      <c r="A11" s="37" t="s">
        <v>152</v>
      </c>
      <c r="B11" s="40">
        <f>B8-B10</f>
        <v>3600000</v>
      </c>
      <c r="C11" s="41"/>
      <c r="D11" s="37" t="s">
        <v>152</v>
      </c>
      <c r="E11" s="40">
        <f>E8-E10</f>
        <v>3375000</v>
      </c>
      <c r="F11" s="41"/>
      <c r="G11" s="37" t="s">
        <v>152</v>
      </c>
      <c r="H11" s="40">
        <f>H8-H10</f>
        <v>3375000</v>
      </c>
    </row>
    <row r="12" spans="1:11" ht="12.75" customHeight="1">
      <c r="A12" s="37" t="s">
        <v>153</v>
      </c>
      <c r="B12" s="42">
        <v>8.5000000000000006E-2</v>
      </c>
      <c r="D12" s="37" t="s">
        <v>153</v>
      </c>
      <c r="E12" s="42">
        <v>8.5000000000000006E-2</v>
      </c>
      <c r="G12" s="37" t="s">
        <v>153</v>
      </c>
      <c r="H12" s="42">
        <v>8.5000000000000006E-2</v>
      </c>
      <c r="I12" s="41"/>
    </row>
    <row r="13" spans="1:11" ht="12.75" customHeight="1">
      <c r="A13" s="37" t="s">
        <v>154</v>
      </c>
      <c r="B13" s="43">
        <v>20</v>
      </c>
      <c r="D13" s="37" t="s">
        <v>154</v>
      </c>
      <c r="E13" s="43">
        <v>25</v>
      </c>
      <c r="G13" s="37" t="s">
        <v>154</v>
      </c>
      <c r="H13" s="43">
        <v>25</v>
      </c>
    </row>
    <row r="14" spans="1:11" ht="12.75" customHeight="1">
      <c r="A14" s="37" t="s">
        <v>155</v>
      </c>
      <c r="B14" s="44">
        <f>B15*12</f>
        <v>374899.63681391062</v>
      </c>
      <c r="D14" s="37" t="s">
        <v>155</v>
      </c>
      <c r="E14" s="44">
        <f>E15*12</f>
        <v>326116.96880216314</v>
      </c>
      <c r="G14" s="37" t="s">
        <v>155</v>
      </c>
      <c r="H14" s="44">
        <f>H15*12</f>
        <v>326116.96880216314</v>
      </c>
    </row>
    <row r="15" spans="1:11" ht="12.75" customHeight="1">
      <c r="A15" s="37" t="s">
        <v>156</v>
      </c>
      <c r="B15" s="44">
        <f>PMT(B12/12, B13*12,-B11)</f>
        <v>31241.63640115922</v>
      </c>
      <c r="D15" s="37" t="s">
        <v>156</v>
      </c>
      <c r="E15" s="44">
        <f>PMT(E12/12, E13*12,-E11)</f>
        <v>27176.41406684693</v>
      </c>
      <c r="G15" s="37" t="s">
        <v>156</v>
      </c>
      <c r="H15" s="44">
        <f>PMT(H12/12, H13*12,-H11)</f>
        <v>27176.41406684693</v>
      </c>
    </row>
    <row r="16" spans="1:11" ht="12.75" customHeight="1">
      <c r="A16" s="37" t="s">
        <v>157</v>
      </c>
      <c r="B16" s="45">
        <v>66324</v>
      </c>
      <c r="D16" s="37" t="s">
        <v>157</v>
      </c>
      <c r="E16" s="45">
        <v>66324</v>
      </c>
      <c r="G16" s="37" t="s">
        <v>157</v>
      </c>
      <c r="H16" s="45">
        <v>66324</v>
      </c>
    </row>
    <row r="17" spans="1:26" ht="12.75" customHeight="1">
      <c r="A17" s="37" t="s">
        <v>158</v>
      </c>
      <c r="B17" s="46">
        <f>B8/B16</f>
        <v>67.848742536638326</v>
      </c>
      <c r="D17" s="37" t="s">
        <v>158</v>
      </c>
      <c r="E17" s="46">
        <f>E8/E16</f>
        <v>67.848742536638326</v>
      </c>
      <c r="G17" s="37" t="s">
        <v>158</v>
      </c>
      <c r="H17" s="46">
        <f>H8/H16</f>
        <v>67.848742536638326</v>
      </c>
    </row>
    <row r="18" spans="1:26" ht="12.75" customHeight="1"/>
    <row r="19" spans="1:26" ht="12.75" customHeight="1">
      <c r="A19" s="47" t="s">
        <v>159</v>
      </c>
      <c r="B19" s="47" t="s">
        <v>160</v>
      </c>
      <c r="C19" s="48"/>
      <c r="D19" s="47" t="s">
        <v>159</v>
      </c>
      <c r="E19" s="47" t="s">
        <v>160</v>
      </c>
      <c r="F19" s="48"/>
      <c r="G19" s="47" t="s">
        <v>159</v>
      </c>
      <c r="H19" s="47" t="s">
        <v>160</v>
      </c>
      <c r="I19" s="48"/>
    </row>
    <row r="20" spans="1:26" ht="12.75" customHeight="1">
      <c r="A20" s="41" t="s">
        <v>161</v>
      </c>
      <c r="B20" s="49">
        <v>399000</v>
      </c>
      <c r="C20" s="50"/>
      <c r="D20" s="41" t="s">
        <v>161</v>
      </c>
      <c r="E20" s="49">
        <f>'Rent Roll 11-23'!G38</f>
        <v>615320</v>
      </c>
      <c r="F20" s="50"/>
      <c r="G20" s="41" t="s">
        <v>162</v>
      </c>
      <c r="H20" s="51">
        <f>63000*13.5</f>
        <v>850500</v>
      </c>
      <c r="I20" s="50"/>
    </row>
    <row r="21" spans="1:26" ht="12.75" customHeight="1">
      <c r="A21" s="41" t="s">
        <v>163</v>
      </c>
      <c r="B21" s="49">
        <v>0</v>
      </c>
      <c r="C21" s="50"/>
      <c r="D21" s="41" t="s">
        <v>163</v>
      </c>
      <c r="E21" s="49">
        <v>0</v>
      </c>
      <c r="F21" s="50"/>
      <c r="G21" s="41" t="s">
        <v>163</v>
      </c>
      <c r="H21" s="49">
        <v>0</v>
      </c>
      <c r="I21" s="50"/>
    </row>
    <row r="22" spans="1:26" ht="12.75" customHeight="1">
      <c r="A22" s="41" t="s">
        <v>164</v>
      </c>
      <c r="B22" s="49">
        <v>0</v>
      </c>
      <c r="D22" s="41" t="s">
        <v>164</v>
      </c>
      <c r="E22" s="49">
        <v>0</v>
      </c>
      <c r="F22" s="41"/>
      <c r="G22" s="41" t="s">
        <v>164</v>
      </c>
      <c r="H22" s="49">
        <v>0</v>
      </c>
      <c r="I22" s="41"/>
    </row>
    <row r="23" spans="1:26" ht="12.75" customHeight="1">
      <c r="A23" s="41" t="s">
        <v>165</v>
      </c>
      <c r="B23" s="49">
        <v>0</v>
      </c>
      <c r="D23" s="41" t="s">
        <v>165</v>
      </c>
      <c r="E23" s="49">
        <v>0</v>
      </c>
      <c r="G23" s="41" t="s">
        <v>165</v>
      </c>
      <c r="H23" s="49">
        <v>0</v>
      </c>
      <c r="I23" s="41"/>
    </row>
    <row r="24" spans="1:26" ht="12.75" customHeight="1">
      <c r="A24" s="41" t="s">
        <v>166</v>
      </c>
      <c r="B24" s="49">
        <v>0</v>
      </c>
      <c r="D24" s="41" t="s">
        <v>166</v>
      </c>
      <c r="E24" s="49">
        <v>0</v>
      </c>
      <c r="G24" s="41" t="s">
        <v>166</v>
      </c>
      <c r="H24" s="49">
        <v>0</v>
      </c>
    </row>
    <row r="25" spans="1:26" ht="12.75" customHeight="1">
      <c r="A25" s="41" t="s">
        <v>167</v>
      </c>
      <c r="B25" s="49"/>
      <c r="D25" s="41" t="s">
        <v>167</v>
      </c>
      <c r="E25" s="49"/>
      <c r="G25" s="41" t="s">
        <v>167</v>
      </c>
      <c r="H25" s="49"/>
    </row>
    <row r="26" spans="1:26" ht="12.75" customHeight="1">
      <c r="A26" s="41" t="s">
        <v>168</v>
      </c>
      <c r="B26" s="49">
        <v>0</v>
      </c>
      <c r="D26" s="41" t="s">
        <v>168</v>
      </c>
      <c r="E26" s="49">
        <v>0</v>
      </c>
      <c r="G26" s="41" t="s">
        <v>168</v>
      </c>
      <c r="H26" s="49">
        <v>0</v>
      </c>
    </row>
    <row r="27" spans="1:26" ht="12.75" customHeight="1">
      <c r="A27" s="41" t="s">
        <v>169</v>
      </c>
      <c r="B27" s="49">
        <v>0</v>
      </c>
      <c r="D27" s="41" t="s">
        <v>169</v>
      </c>
      <c r="E27" s="49">
        <v>0</v>
      </c>
      <c r="G27" s="41" t="s">
        <v>169</v>
      </c>
      <c r="H27" s="49">
        <v>0</v>
      </c>
    </row>
    <row r="28" spans="1:26" ht="12.75" customHeight="1">
      <c r="A28" s="41" t="s">
        <v>170</v>
      </c>
      <c r="B28" s="49">
        <v>0</v>
      </c>
      <c r="D28" s="41" t="s">
        <v>170</v>
      </c>
      <c r="E28" s="49">
        <v>0</v>
      </c>
      <c r="G28" s="41" t="s">
        <v>170</v>
      </c>
      <c r="H28" s="49">
        <v>0</v>
      </c>
      <c r="J28" s="41" t="s">
        <v>171</v>
      </c>
    </row>
    <row r="29" spans="1:26" ht="12.75" customHeight="1">
      <c r="A29" s="41" t="s">
        <v>172</v>
      </c>
      <c r="B29" s="49">
        <v>0</v>
      </c>
      <c r="D29" s="41" t="s">
        <v>172</v>
      </c>
      <c r="E29" s="49">
        <v>0</v>
      </c>
      <c r="G29" s="41" t="s">
        <v>172</v>
      </c>
      <c r="H29" s="49">
        <v>0</v>
      </c>
    </row>
    <row r="30" spans="1:26" ht="12.75" customHeight="1">
      <c r="B30" s="49"/>
      <c r="E30" s="49"/>
      <c r="H30" s="49"/>
    </row>
    <row r="31" spans="1:26" ht="12.75" customHeight="1">
      <c r="A31" s="52" t="s">
        <v>173</v>
      </c>
      <c r="B31" s="53"/>
      <c r="C31" s="54"/>
      <c r="D31" s="52" t="s">
        <v>173</v>
      </c>
      <c r="E31" s="53"/>
      <c r="F31" s="54"/>
      <c r="G31" s="52" t="s">
        <v>173</v>
      </c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 customHeight="1">
      <c r="A32" s="48" t="s">
        <v>25</v>
      </c>
      <c r="B32" s="55"/>
      <c r="C32" s="31"/>
      <c r="D32" s="48" t="s">
        <v>25</v>
      </c>
      <c r="E32" s="55"/>
      <c r="F32" s="31"/>
      <c r="G32" s="48" t="s">
        <v>25</v>
      </c>
      <c r="H32" s="55"/>
    </row>
    <row r="33" spans="1:8" ht="12.75" customHeight="1">
      <c r="A33" s="48" t="s">
        <v>174</v>
      </c>
      <c r="B33" s="55"/>
      <c r="C33" s="31"/>
      <c r="D33" s="48" t="s">
        <v>174</v>
      </c>
      <c r="E33" s="55"/>
      <c r="F33" s="31"/>
      <c r="G33" s="48" t="s">
        <v>174</v>
      </c>
      <c r="H33" s="55"/>
    </row>
    <row r="34" spans="1:8" ht="12.75" customHeight="1">
      <c r="A34" s="48" t="s">
        <v>175</v>
      </c>
      <c r="B34" s="55"/>
      <c r="C34" s="31"/>
      <c r="D34" s="48" t="s">
        <v>175</v>
      </c>
      <c r="E34" s="55"/>
      <c r="F34" s="31"/>
      <c r="G34" s="48" t="s">
        <v>175</v>
      </c>
      <c r="H34" s="55"/>
    </row>
    <row r="35" spans="1:8" ht="12.75" customHeight="1">
      <c r="A35" s="48" t="s">
        <v>176</v>
      </c>
      <c r="B35" s="55">
        <v>7650</v>
      </c>
      <c r="C35" s="31"/>
      <c r="D35" s="48" t="s">
        <v>176</v>
      </c>
      <c r="E35" s="56">
        <v>9000</v>
      </c>
      <c r="F35" s="31"/>
      <c r="G35" s="48" t="s">
        <v>176</v>
      </c>
      <c r="H35" s="55">
        <v>30000</v>
      </c>
    </row>
    <row r="36" spans="1:8" ht="12.75" customHeight="1">
      <c r="A36" s="57" t="s">
        <v>177</v>
      </c>
      <c r="B36" s="49">
        <f>SUM(B20:B35)</f>
        <v>406650</v>
      </c>
      <c r="D36" s="57" t="s">
        <v>177</v>
      </c>
      <c r="E36" s="58">
        <f>SUM(E20:E35)</f>
        <v>624320</v>
      </c>
      <c r="G36" s="57" t="s">
        <v>177</v>
      </c>
      <c r="H36" s="49">
        <f>SUM(H20:H35)</f>
        <v>880500</v>
      </c>
    </row>
    <row r="37" spans="1:8" ht="12.75" customHeight="1">
      <c r="A37" s="59"/>
      <c r="B37" s="49"/>
      <c r="D37" s="59"/>
      <c r="E37" s="49"/>
      <c r="G37" s="59"/>
      <c r="H37" s="49"/>
    </row>
    <row r="38" spans="1:8" ht="12.75" customHeight="1"/>
    <row r="39" spans="1:8" ht="12.75" customHeight="1">
      <c r="A39" s="47" t="s">
        <v>178</v>
      </c>
      <c r="B39" s="47"/>
      <c r="D39" s="47" t="s">
        <v>178</v>
      </c>
      <c r="E39" s="47"/>
      <c r="G39" s="47" t="s">
        <v>178</v>
      </c>
      <c r="H39" s="47"/>
    </row>
    <row r="40" spans="1:8" ht="12.75" customHeight="1">
      <c r="A40" s="48" t="s">
        <v>179</v>
      </c>
      <c r="B40" s="60">
        <v>56275</v>
      </c>
      <c r="C40" s="31"/>
      <c r="D40" s="48" t="s">
        <v>179</v>
      </c>
      <c r="E40" s="60">
        <f>B40*1.25</f>
        <v>70343.75</v>
      </c>
      <c r="F40" s="31"/>
      <c r="G40" s="48" t="s">
        <v>179</v>
      </c>
      <c r="H40" s="60">
        <f>E40</f>
        <v>70343.75</v>
      </c>
    </row>
    <row r="41" spans="1:8" ht="12.75" customHeight="1">
      <c r="A41" s="48" t="s">
        <v>180</v>
      </c>
      <c r="B41" s="60">
        <v>17500</v>
      </c>
      <c r="C41" s="31"/>
      <c r="D41" s="48" t="s">
        <v>180</v>
      </c>
      <c r="E41" s="60">
        <v>17500</v>
      </c>
      <c r="F41" s="31"/>
      <c r="G41" s="48" t="s">
        <v>180</v>
      </c>
      <c r="H41" s="60">
        <v>17500</v>
      </c>
    </row>
    <row r="42" spans="1:8" ht="12.75" customHeight="1">
      <c r="A42" s="48" t="s">
        <v>181</v>
      </c>
      <c r="B42" s="56"/>
      <c r="C42" s="31"/>
      <c r="D42" s="48" t="s">
        <v>181</v>
      </c>
      <c r="E42" s="56"/>
      <c r="F42" s="48"/>
      <c r="G42" s="48" t="s">
        <v>181</v>
      </c>
      <c r="H42" s="56">
        <f>0.1*H20</f>
        <v>85050</v>
      </c>
    </row>
    <row r="43" spans="1:8" ht="12.75" customHeight="1">
      <c r="A43" s="48" t="s">
        <v>182</v>
      </c>
      <c r="B43" s="60">
        <v>30000</v>
      </c>
      <c r="C43" s="31"/>
      <c r="D43" s="48" t="s">
        <v>182</v>
      </c>
      <c r="E43" s="60">
        <v>30000</v>
      </c>
      <c r="F43" s="31"/>
      <c r="G43" s="48" t="s">
        <v>182</v>
      </c>
      <c r="H43" s="60">
        <v>30000</v>
      </c>
    </row>
    <row r="44" spans="1:8" ht="12.75" customHeight="1">
      <c r="A44" s="48" t="s">
        <v>183</v>
      </c>
      <c r="B44" s="56"/>
      <c r="C44" s="31"/>
      <c r="D44" s="48" t="s">
        <v>183</v>
      </c>
      <c r="E44" s="56"/>
      <c r="F44" s="31"/>
      <c r="G44" s="48" t="s">
        <v>183</v>
      </c>
      <c r="H44" s="56"/>
    </row>
    <row r="45" spans="1:8" ht="12.75" customHeight="1">
      <c r="A45" s="48" t="s">
        <v>184</v>
      </c>
      <c r="B45" s="56">
        <v>17000</v>
      </c>
      <c r="C45" s="31"/>
      <c r="D45" s="48" t="s">
        <v>184</v>
      </c>
      <c r="E45" s="56">
        <v>17000</v>
      </c>
      <c r="F45" s="31"/>
      <c r="G45" s="48" t="s">
        <v>184</v>
      </c>
      <c r="H45" s="56">
        <v>17000</v>
      </c>
    </row>
    <row r="46" spans="1:8" ht="12.75" customHeight="1">
      <c r="A46" s="48" t="s">
        <v>185</v>
      </c>
      <c r="B46" s="56"/>
      <c r="C46" s="31"/>
      <c r="D46" s="48" t="s">
        <v>185</v>
      </c>
      <c r="E46" s="56"/>
      <c r="F46" s="31"/>
      <c r="G46" s="48" t="s">
        <v>185</v>
      </c>
      <c r="H46" s="56"/>
    </row>
    <row r="47" spans="1:8" ht="12.75" customHeight="1">
      <c r="A47" s="48" t="s">
        <v>186</v>
      </c>
      <c r="B47" s="56">
        <f>550*12</f>
        <v>6600</v>
      </c>
      <c r="C47" s="31"/>
      <c r="D47" s="48" t="s">
        <v>186</v>
      </c>
      <c r="E47" s="56">
        <f>550*12</f>
        <v>6600</v>
      </c>
      <c r="F47" s="31"/>
      <c r="G47" s="48" t="s">
        <v>186</v>
      </c>
      <c r="H47" s="56">
        <f>550*12</f>
        <v>6600</v>
      </c>
    </row>
    <row r="48" spans="1:8" ht="12.75" customHeight="1">
      <c r="A48" s="48" t="s">
        <v>187</v>
      </c>
      <c r="B48" s="56"/>
      <c r="C48" s="31"/>
      <c r="D48" s="48" t="s">
        <v>187</v>
      </c>
      <c r="E48" s="56"/>
      <c r="F48" s="31"/>
      <c r="G48" s="48" t="s">
        <v>187</v>
      </c>
      <c r="H48" s="56"/>
    </row>
    <row r="49" spans="1:10" ht="12.75" customHeight="1">
      <c r="A49" s="48" t="s">
        <v>188</v>
      </c>
      <c r="B49" s="56">
        <f>0.04*B20</f>
        <v>15960</v>
      </c>
      <c r="C49" s="31"/>
      <c r="D49" s="48" t="s">
        <v>188</v>
      </c>
      <c r="E49" s="56">
        <f>0.04*E20</f>
        <v>24612.799999999999</v>
      </c>
      <c r="F49" s="31"/>
      <c r="G49" s="48" t="s">
        <v>188</v>
      </c>
      <c r="H49" s="56">
        <f>0.04*H20</f>
        <v>34020</v>
      </c>
      <c r="J49" s="41"/>
    </row>
    <row r="50" spans="1:10" ht="12.75" customHeight="1">
      <c r="A50" s="48" t="s">
        <v>189</v>
      </c>
      <c r="B50" s="60">
        <f>E50</f>
        <v>0</v>
      </c>
      <c r="C50" s="31"/>
      <c r="D50" s="48" t="s">
        <v>189</v>
      </c>
      <c r="E50" s="60">
        <f>H50</f>
        <v>0</v>
      </c>
      <c r="F50" s="31"/>
      <c r="G50" s="48" t="s">
        <v>189</v>
      </c>
      <c r="H50" s="60">
        <f>K50</f>
        <v>0</v>
      </c>
      <c r="J50" s="41"/>
    </row>
    <row r="51" spans="1:10" ht="12.75" customHeight="1">
      <c r="A51" s="48" t="s">
        <v>190</v>
      </c>
      <c r="B51" s="56">
        <v>30000</v>
      </c>
      <c r="C51" s="31"/>
      <c r="D51" s="48" t="s">
        <v>190</v>
      </c>
      <c r="E51" s="126">
        <v>30000</v>
      </c>
      <c r="F51" s="31"/>
      <c r="G51" s="48" t="s">
        <v>190</v>
      </c>
      <c r="H51" s="56">
        <v>35000</v>
      </c>
    </row>
    <row r="52" spans="1:10" ht="12.75" customHeight="1">
      <c r="A52" s="48" t="s">
        <v>191</v>
      </c>
      <c r="B52" s="60"/>
      <c r="C52" s="31"/>
      <c r="D52" s="48" t="s">
        <v>191</v>
      </c>
      <c r="E52" s="60"/>
      <c r="F52" s="31"/>
      <c r="G52" s="48" t="s">
        <v>191</v>
      </c>
      <c r="H52" s="60"/>
    </row>
    <row r="53" spans="1:10" ht="12.75" customHeight="1">
      <c r="A53" s="48" t="s">
        <v>192</v>
      </c>
      <c r="B53" s="56">
        <v>0</v>
      </c>
      <c r="C53" s="31"/>
      <c r="D53" s="48" t="s">
        <v>192</v>
      </c>
      <c r="E53" s="56">
        <v>0</v>
      </c>
      <c r="F53" s="31"/>
      <c r="G53" s="48" t="s">
        <v>192</v>
      </c>
      <c r="H53" s="56">
        <v>0</v>
      </c>
    </row>
    <row r="54" spans="1:10" ht="12.75" customHeight="1">
      <c r="A54" s="48" t="s">
        <v>193</v>
      </c>
      <c r="B54" s="56">
        <v>0</v>
      </c>
      <c r="C54" s="31"/>
      <c r="D54" s="48" t="s">
        <v>193</v>
      </c>
      <c r="E54" s="56">
        <v>0</v>
      </c>
      <c r="F54" s="31"/>
      <c r="G54" s="48" t="s">
        <v>193</v>
      </c>
      <c r="H54" s="56">
        <v>0</v>
      </c>
    </row>
    <row r="55" spans="1:10" ht="12.75" customHeight="1">
      <c r="A55" s="48" t="s">
        <v>25</v>
      </c>
      <c r="B55" s="56"/>
      <c r="C55" s="31"/>
      <c r="D55" s="48" t="s">
        <v>25</v>
      </c>
      <c r="E55" s="56"/>
      <c r="F55" s="31"/>
      <c r="G55" s="48" t="s">
        <v>25</v>
      </c>
      <c r="H55" s="56"/>
    </row>
    <row r="56" spans="1:10" ht="12.75" customHeight="1">
      <c r="A56" s="31"/>
      <c r="B56" s="56"/>
      <c r="C56" s="31"/>
      <c r="D56" s="31"/>
      <c r="E56" s="56"/>
      <c r="F56" s="31"/>
      <c r="G56" s="31"/>
      <c r="H56" s="56"/>
    </row>
    <row r="57" spans="1:10" ht="12.75" customHeight="1">
      <c r="A57" s="59" t="s">
        <v>194</v>
      </c>
      <c r="B57" s="58">
        <f>SUM(B40:B55)</f>
        <v>173335</v>
      </c>
      <c r="D57" s="59" t="s">
        <v>194</v>
      </c>
      <c r="E57" s="58">
        <f>SUM(E40:E55)</f>
        <v>196056.55</v>
      </c>
      <c r="G57" s="59" t="s">
        <v>194</v>
      </c>
      <c r="H57" s="58">
        <f>SUM(H40:H55)</f>
        <v>295513.75</v>
      </c>
    </row>
    <row r="58" spans="1:10" ht="12.75" customHeight="1">
      <c r="A58" s="59"/>
      <c r="B58" s="58"/>
      <c r="D58" s="59"/>
      <c r="E58" s="58"/>
      <c r="G58" s="59"/>
      <c r="H58" s="58"/>
    </row>
    <row r="59" spans="1:10" ht="12.75" customHeight="1">
      <c r="B59" s="61"/>
      <c r="E59" s="61"/>
      <c r="H59" s="61"/>
    </row>
    <row r="60" spans="1:10" ht="12.75" customHeight="1">
      <c r="A60" s="62" t="s">
        <v>195</v>
      </c>
      <c r="B60" s="61"/>
      <c r="D60" s="62" t="s">
        <v>195</v>
      </c>
      <c r="E60" s="61"/>
      <c r="G60" s="62" t="s">
        <v>195</v>
      </c>
      <c r="H60" s="61"/>
    </row>
    <row r="61" spans="1:10" ht="12.75" customHeight="1">
      <c r="A61" s="63" t="s">
        <v>196</v>
      </c>
      <c r="B61" s="64">
        <f>B36-B57</f>
        <v>233315</v>
      </c>
      <c r="D61" s="63" t="s">
        <v>196</v>
      </c>
      <c r="E61" s="64">
        <f>E36-E57</f>
        <v>428263.45</v>
      </c>
      <c r="G61" s="63" t="s">
        <v>196</v>
      </c>
      <c r="H61" s="64">
        <f>H36-H57</f>
        <v>584986.25</v>
      </c>
    </row>
    <row r="62" spans="1:10" ht="12.75" customHeight="1">
      <c r="A62" s="63" t="s">
        <v>197</v>
      </c>
      <c r="B62" s="65">
        <f>B61/B14</f>
        <v>0.62233989337207829</v>
      </c>
      <c r="D62" s="63" t="s">
        <v>197</v>
      </c>
      <c r="E62" s="66">
        <f>E61/E14</f>
        <v>1.3132203809357845</v>
      </c>
      <c r="G62" s="63" t="s">
        <v>197</v>
      </c>
      <c r="H62" s="67">
        <f>H61/H14</f>
        <v>1.7937927368473681</v>
      </c>
    </row>
    <row r="63" spans="1:10" ht="12.75" customHeight="1">
      <c r="A63" s="63" t="s">
        <v>198</v>
      </c>
      <c r="B63" s="68">
        <f>B61-B14</f>
        <v>-141584.63681391062</v>
      </c>
      <c r="D63" s="63" t="s">
        <v>198</v>
      </c>
      <c r="E63" s="68">
        <f>E61-E14</f>
        <v>102146.48119783687</v>
      </c>
      <c r="G63" s="63" t="s">
        <v>198</v>
      </c>
      <c r="H63" s="68">
        <f>H61-H14</f>
        <v>258869.28119783686</v>
      </c>
    </row>
    <row r="64" spans="1:10" ht="12.75" customHeight="1">
      <c r="A64" s="69" t="s">
        <v>199</v>
      </c>
      <c r="B64" s="70">
        <f>B63/B10</f>
        <v>-0.15731626312656735</v>
      </c>
      <c r="D64" s="69" t="s">
        <v>199</v>
      </c>
      <c r="E64" s="70">
        <f>E63/E10</f>
        <v>9.0796872175854998E-2</v>
      </c>
      <c r="G64" s="69" t="s">
        <v>199</v>
      </c>
      <c r="H64" s="70">
        <f>H63/H10</f>
        <v>0.23010602773141053</v>
      </c>
    </row>
    <row r="65" spans="1:8" ht="12.75" customHeight="1">
      <c r="A65" s="41"/>
      <c r="B65" s="41"/>
      <c r="D65" s="41"/>
      <c r="E65" s="41"/>
      <c r="G65" s="41"/>
      <c r="H65" s="41"/>
    </row>
    <row r="66" spans="1:8" ht="12.75" customHeight="1">
      <c r="A66" s="41"/>
      <c r="B66" s="71"/>
      <c r="D66" s="41"/>
      <c r="E66" s="71"/>
      <c r="G66" s="41"/>
      <c r="H66" s="71"/>
    </row>
    <row r="67" spans="1:8" ht="12.75" customHeight="1">
      <c r="A67" s="72" t="s">
        <v>200</v>
      </c>
      <c r="B67" s="59" t="s">
        <v>149</v>
      </c>
      <c r="D67" s="72" t="s">
        <v>200</v>
      </c>
      <c r="E67" s="59" t="s">
        <v>149</v>
      </c>
      <c r="G67" s="72" t="s">
        <v>200</v>
      </c>
      <c r="H67" s="59" t="s">
        <v>149</v>
      </c>
    </row>
    <row r="68" spans="1:8" ht="12.75" customHeight="1">
      <c r="A68" s="73">
        <v>0.06</v>
      </c>
      <c r="B68" s="49">
        <f>B61/A68</f>
        <v>3888583.3333333335</v>
      </c>
      <c r="D68" s="73">
        <v>0.06</v>
      </c>
      <c r="E68" s="49">
        <f>E61/D68</f>
        <v>7137724.166666667</v>
      </c>
      <c r="G68" s="73">
        <v>0.06</v>
      </c>
      <c r="H68" s="49">
        <f>H61/G68</f>
        <v>9749770.833333334</v>
      </c>
    </row>
    <row r="69" spans="1:8" ht="12.75" customHeight="1">
      <c r="A69" s="73">
        <v>7.0000000000000007E-2</v>
      </c>
      <c r="B69" s="49">
        <f>B61/A69</f>
        <v>3333071.4285714282</v>
      </c>
      <c r="D69" s="73">
        <v>7.0000000000000007E-2</v>
      </c>
      <c r="E69" s="49">
        <f>E61/D69</f>
        <v>6118049.2857142854</v>
      </c>
      <c r="G69" s="127">
        <v>7.0000000000000007E-2</v>
      </c>
      <c r="H69" s="128">
        <f>H61/G69</f>
        <v>8356946.4285714282</v>
      </c>
    </row>
    <row r="70" spans="1:8" ht="12.75" customHeight="1">
      <c r="A70" s="73">
        <v>0.08</v>
      </c>
      <c r="B70" s="49">
        <f>B61/A70</f>
        <v>2916437.5</v>
      </c>
      <c r="D70" s="73">
        <v>0.08</v>
      </c>
      <c r="E70" s="49">
        <f>E61/D70</f>
        <v>5353293.125</v>
      </c>
      <c r="G70" s="129">
        <v>0.08</v>
      </c>
      <c r="H70" s="130">
        <f>H61/G70</f>
        <v>7312328.125</v>
      </c>
    </row>
    <row r="71" spans="1:8" ht="12.75" customHeight="1">
      <c r="A71" s="73">
        <v>0.09</v>
      </c>
      <c r="B71" s="49">
        <f>B61/A71</f>
        <v>2592388.888888889</v>
      </c>
      <c r="D71" s="127">
        <v>0.09</v>
      </c>
      <c r="E71" s="128">
        <f>E61/D71</f>
        <v>4758482.777777778</v>
      </c>
      <c r="G71" s="73">
        <v>0.09</v>
      </c>
      <c r="H71" s="49">
        <f>H61/G71</f>
        <v>6499847.222222222</v>
      </c>
    </row>
    <row r="72" spans="1:8" ht="12.75" customHeight="1">
      <c r="A72" s="73">
        <v>0.1</v>
      </c>
      <c r="B72" s="49">
        <f>B61/A72</f>
        <v>2333150</v>
      </c>
      <c r="D72" s="129">
        <v>0.1</v>
      </c>
      <c r="E72" s="130">
        <f>E61/D72</f>
        <v>4282634.5</v>
      </c>
      <c r="G72" s="73">
        <v>0.1</v>
      </c>
      <c r="H72" s="49">
        <f>H61/G72</f>
        <v>5849862.5</v>
      </c>
    </row>
    <row r="73" spans="1:8" ht="12.75" customHeight="1">
      <c r="A73" s="73">
        <v>0.11</v>
      </c>
      <c r="B73" s="49">
        <f>B61/A73</f>
        <v>2121045.4545454546</v>
      </c>
      <c r="D73" s="73">
        <v>0.11</v>
      </c>
      <c r="E73" s="49">
        <f>E61/D73</f>
        <v>3893304.0909090908</v>
      </c>
      <c r="G73" s="73">
        <v>0.11</v>
      </c>
      <c r="H73" s="49">
        <f>H61/G73</f>
        <v>5318056.8181818184</v>
      </c>
    </row>
    <row r="74" spans="1:8" ht="12.75" customHeight="1">
      <c r="A74" s="73">
        <v>0.12</v>
      </c>
      <c r="B74" s="49">
        <f>B61/A74</f>
        <v>1944291.6666666667</v>
      </c>
      <c r="D74" s="73">
        <v>0.12</v>
      </c>
      <c r="E74" s="49">
        <f>E61/D74</f>
        <v>3568862.0833333335</v>
      </c>
      <c r="G74" s="73">
        <v>0.12</v>
      </c>
      <c r="H74" s="49">
        <f>H61/G74</f>
        <v>4874885.416666667</v>
      </c>
    </row>
    <row r="75" spans="1:8" ht="12.75" customHeight="1"/>
    <row r="76" spans="1:8" ht="12.75" customHeight="1"/>
    <row r="77" spans="1:8" ht="12.75" customHeight="1"/>
    <row r="78" spans="1:8" ht="12.75" customHeight="1"/>
    <row r="79" spans="1:8" ht="12.75" customHeight="1"/>
    <row r="80" spans="1: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7:B7"/>
    <mergeCell ref="D7:E7"/>
    <mergeCell ref="G7:H7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28.28515625" customWidth="1"/>
    <col min="2" max="2" width="15" customWidth="1"/>
    <col min="3" max="3" width="12.140625" customWidth="1"/>
    <col min="4" max="4" width="28.28515625" customWidth="1"/>
    <col min="5" max="5" width="14.5703125" customWidth="1"/>
    <col min="6" max="6" width="10.7109375" customWidth="1"/>
    <col min="7" max="7" width="28.28515625" customWidth="1"/>
    <col min="8" max="8" width="15" customWidth="1"/>
    <col min="9" max="11" width="8.28515625" customWidth="1"/>
    <col min="12" max="26" width="11.85546875" customWidth="1"/>
  </cols>
  <sheetData>
    <row r="1" spans="1:11" ht="12.75" customHeight="1">
      <c r="A1" s="30"/>
      <c r="B1" s="30"/>
      <c r="D1" s="30"/>
      <c r="E1" s="30"/>
      <c r="G1" s="30"/>
      <c r="H1" s="30"/>
      <c r="K1" s="31" t="s">
        <v>137</v>
      </c>
    </row>
    <row r="2" spans="1:11" ht="12.75" customHeight="1">
      <c r="D2" s="32"/>
      <c r="E2" s="74"/>
      <c r="F2" s="75"/>
      <c r="G2" s="30"/>
    </row>
    <row r="3" spans="1:11" ht="12.75" customHeight="1">
      <c r="D3" s="32"/>
      <c r="E3" s="76"/>
      <c r="F3" s="75"/>
      <c r="G3" s="30"/>
    </row>
    <row r="4" spans="1:11" ht="12.75" customHeight="1">
      <c r="D4" s="32"/>
      <c r="E4" s="30"/>
      <c r="F4" s="75"/>
      <c r="G4" s="30"/>
    </row>
    <row r="5" spans="1:11" ht="12.75" customHeight="1">
      <c r="A5" s="30"/>
      <c r="B5" s="30"/>
      <c r="D5" s="32"/>
      <c r="E5" s="30"/>
      <c r="F5" s="30"/>
      <c r="G5" s="30"/>
      <c r="H5" s="30"/>
    </row>
    <row r="6" spans="1:11" ht="12.75" customHeight="1">
      <c r="A6" s="30"/>
      <c r="B6" s="30"/>
      <c r="D6" s="30"/>
      <c r="E6" s="30"/>
      <c r="G6" s="30"/>
      <c r="H6" s="30"/>
    </row>
    <row r="7" spans="1:11" ht="12.75" customHeight="1">
      <c r="A7" s="123" t="s">
        <v>146</v>
      </c>
      <c r="B7" s="124"/>
      <c r="D7" s="123" t="s">
        <v>147</v>
      </c>
      <c r="E7" s="124"/>
      <c r="G7" s="123" t="s">
        <v>148</v>
      </c>
      <c r="H7" s="124"/>
    </row>
    <row r="8" spans="1:11" ht="12.75" customHeight="1">
      <c r="A8" s="37" t="s">
        <v>149</v>
      </c>
      <c r="B8" s="38">
        <v>4500000</v>
      </c>
      <c r="D8" s="37" t="s">
        <v>149</v>
      </c>
      <c r="E8" s="38">
        <v>4500000</v>
      </c>
      <c r="G8" s="37" t="s">
        <v>149</v>
      </c>
      <c r="H8" s="38">
        <v>4500000</v>
      </c>
    </row>
    <row r="9" spans="1:11" ht="12.75" customHeight="1">
      <c r="A9" s="37" t="s">
        <v>150</v>
      </c>
      <c r="B9" s="39">
        <v>0.2</v>
      </c>
      <c r="D9" s="37" t="s">
        <v>150</v>
      </c>
      <c r="E9" s="39">
        <v>0.25</v>
      </c>
      <c r="G9" s="37" t="s">
        <v>150</v>
      </c>
      <c r="H9" s="39">
        <v>0.2</v>
      </c>
    </row>
    <row r="10" spans="1:11" ht="12.75" customHeight="1">
      <c r="A10" s="37" t="s">
        <v>151</v>
      </c>
      <c r="B10" s="40">
        <f>B8*B9</f>
        <v>900000</v>
      </c>
      <c r="C10" s="41"/>
      <c r="D10" s="37" t="s">
        <v>151</v>
      </c>
      <c r="E10" s="40">
        <f>E8*E9</f>
        <v>1125000</v>
      </c>
      <c r="F10" s="41"/>
      <c r="G10" s="37" t="s">
        <v>151</v>
      </c>
      <c r="H10" s="40">
        <f>H8*H9</f>
        <v>900000</v>
      </c>
    </row>
    <row r="11" spans="1:11" ht="12.75" customHeight="1">
      <c r="A11" s="37" t="s">
        <v>152</v>
      </c>
      <c r="B11" s="40">
        <f>B8-B10</f>
        <v>3600000</v>
      </c>
      <c r="C11" s="41"/>
      <c r="D11" s="37" t="s">
        <v>152</v>
      </c>
      <c r="E11" s="40">
        <f>E8-E10</f>
        <v>3375000</v>
      </c>
      <c r="F11" s="41"/>
      <c r="G11" s="37" t="s">
        <v>152</v>
      </c>
      <c r="H11" s="40">
        <f>H8-H10</f>
        <v>3600000</v>
      </c>
    </row>
    <row r="12" spans="1:11" ht="12.75" customHeight="1">
      <c r="A12" s="37" t="s">
        <v>153</v>
      </c>
      <c r="B12" s="42">
        <v>8.5000000000000006E-2</v>
      </c>
      <c r="D12" s="37" t="s">
        <v>153</v>
      </c>
      <c r="E12" s="42">
        <v>8.5000000000000006E-2</v>
      </c>
      <c r="G12" s="37" t="s">
        <v>153</v>
      </c>
      <c r="H12" s="42">
        <v>8.5000000000000006E-2</v>
      </c>
      <c r="I12" s="41"/>
    </row>
    <row r="13" spans="1:11" ht="12.75" customHeight="1">
      <c r="A13" s="37" t="s">
        <v>154</v>
      </c>
      <c r="B13" s="43">
        <v>20</v>
      </c>
      <c r="D13" s="37" t="s">
        <v>154</v>
      </c>
      <c r="E13" s="43">
        <v>25</v>
      </c>
      <c r="G13" s="37" t="s">
        <v>154</v>
      </c>
      <c r="H13" s="43">
        <v>20</v>
      </c>
    </row>
    <row r="14" spans="1:11" ht="12.75" customHeight="1">
      <c r="A14" s="37" t="s">
        <v>155</v>
      </c>
      <c r="B14" s="44">
        <f>B15*12</f>
        <v>374899.63681391062</v>
      </c>
      <c r="D14" s="37" t="s">
        <v>155</v>
      </c>
      <c r="E14" s="44">
        <f>E15*12</f>
        <v>326116.96880216314</v>
      </c>
      <c r="G14" s="37" t="s">
        <v>155</v>
      </c>
      <c r="H14" s="44">
        <f>H15*12</f>
        <v>374899.63681391062</v>
      </c>
    </row>
    <row r="15" spans="1:11" ht="12.75" customHeight="1">
      <c r="A15" s="37" t="s">
        <v>156</v>
      </c>
      <c r="B15" s="44">
        <f>PMT(B12/12, B13*12,-B11)</f>
        <v>31241.63640115922</v>
      </c>
      <c r="D15" s="37" t="s">
        <v>156</v>
      </c>
      <c r="E15" s="44">
        <f>PMT(E12/12, E13*12,-E11)</f>
        <v>27176.41406684693</v>
      </c>
      <c r="G15" s="37" t="s">
        <v>156</v>
      </c>
      <c r="H15" s="44">
        <f>PMT(H12/12, H13*12,-H11)</f>
        <v>31241.63640115922</v>
      </c>
    </row>
    <row r="16" spans="1:11" ht="12.75" customHeight="1">
      <c r="A16" s="37" t="s">
        <v>157</v>
      </c>
      <c r="B16" s="45">
        <v>66324</v>
      </c>
      <c r="D16" s="37" t="s">
        <v>157</v>
      </c>
      <c r="E16" s="45">
        <v>66324</v>
      </c>
      <c r="G16" s="37" t="s">
        <v>157</v>
      </c>
      <c r="H16" s="45">
        <v>66324</v>
      </c>
    </row>
    <row r="17" spans="1:26" ht="12.75" customHeight="1">
      <c r="A17" s="37" t="s">
        <v>158</v>
      </c>
      <c r="B17" s="46">
        <f>B8/B16</f>
        <v>67.848742536638326</v>
      </c>
      <c r="D17" s="37" t="s">
        <v>158</v>
      </c>
      <c r="E17" s="46">
        <f>E8/E16</f>
        <v>67.848742536638326</v>
      </c>
      <c r="G17" s="37" t="s">
        <v>158</v>
      </c>
      <c r="H17" s="46">
        <f>H8/H16</f>
        <v>67.848742536638326</v>
      </c>
    </row>
    <row r="18" spans="1:26" ht="12.75" customHeight="1"/>
    <row r="19" spans="1:26" ht="12.75" customHeight="1">
      <c r="A19" s="47" t="s">
        <v>159</v>
      </c>
      <c r="B19" s="47" t="s">
        <v>160</v>
      </c>
      <c r="C19" s="48"/>
      <c r="D19" s="47" t="s">
        <v>159</v>
      </c>
      <c r="E19" s="47" t="s">
        <v>160</v>
      </c>
      <c r="F19" s="48"/>
      <c r="G19" s="47" t="s">
        <v>159</v>
      </c>
      <c r="H19" s="47" t="s">
        <v>160</v>
      </c>
      <c r="I19" s="48"/>
    </row>
    <row r="20" spans="1:26" ht="12.75" customHeight="1">
      <c r="A20" s="41" t="s">
        <v>161</v>
      </c>
      <c r="B20" s="49">
        <v>399000</v>
      </c>
      <c r="C20" s="50"/>
      <c r="D20" s="41" t="s">
        <v>161</v>
      </c>
      <c r="E20" s="49">
        <f>'Rent Roll 11-23'!G38</f>
        <v>615320</v>
      </c>
      <c r="F20" s="50"/>
      <c r="G20" s="41" t="s">
        <v>162</v>
      </c>
      <c r="H20" s="51">
        <f>63000*13.5</f>
        <v>850500</v>
      </c>
      <c r="I20" s="50"/>
    </row>
    <row r="21" spans="1:26" ht="12.75" customHeight="1">
      <c r="A21" s="41" t="s">
        <v>163</v>
      </c>
      <c r="B21" s="49">
        <v>0</v>
      </c>
      <c r="C21" s="50"/>
      <c r="D21" s="41" t="s">
        <v>163</v>
      </c>
      <c r="E21" s="49">
        <v>0</v>
      </c>
      <c r="F21" s="50"/>
      <c r="G21" s="41" t="s">
        <v>163</v>
      </c>
      <c r="H21" s="49">
        <v>0</v>
      </c>
      <c r="I21" s="50"/>
    </row>
    <row r="22" spans="1:26" ht="12.75" customHeight="1">
      <c r="A22" s="41" t="s">
        <v>164</v>
      </c>
      <c r="B22" s="49">
        <v>0</v>
      </c>
      <c r="D22" s="41" t="s">
        <v>164</v>
      </c>
      <c r="E22" s="49">
        <v>0</v>
      </c>
      <c r="F22" s="41"/>
      <c r="G22" s="41" t="s">
        <v>164</v>
      </c>
      <c r="H22" s="49">
        <v>0</v>
      </c>
      <c r="I22" s="41"/>
    </row>
    <row r="23" spans="1:26" ht="12.75" customHeight="1">
      <c r="A23" s="41" t="s">
        <v>165</v>
      </c>
      <c r="B23" s="49">
        <v>0</v>
      </c>
      <c r="D23" s="41" t="s">
        <v>165</v>
      </c>
      <c r="E23" s="49">
        <v>0</v>
      </c>
      <c r="G23" s="41" t="s">
        <v>165</v>
      </c>
      <c r="H23" s="49">
        <v>0</v>
      </c>
      <c r="I23" s="41"/>
    </row>
    <row r="24" spans="1:26" ht="12.75" customHeight="1">
      <c r="A24" s="41" t="s">
        <v>166</v>
      </c>
      <c r="B24" s="49">
        <v>0</v>
      </c>
      <c r="D24" s="41" t="s">
        <v>166</v>
      </c>
      <c r="E24" s="49">
        <v>0</v>
      </c>
      <c r="G24" s="41" t="s">
        <v>166</v>
      </c>
      <c r="H24" s="49">
        <v>0</v>
      </c>
    </row>
    <row r="25" spans="1:26" ht="12.75" customHeight="1">
      <c r="A25" s="41" t="s">
        <v>167</v>
      </c>
      <c r="B25" s="49"/>
      <c r="D25" s="41" t="s">
        <v>167</v>
      </c>
      <c r="E25" s="49"/>
      <c r="G25" s="41" t="s">
        <v>167</v>
      </c>
      <c r="H25" s="49"/>
    </row>
    <row r="26" spans="1:26" ht="12.75" customHeight="1">
      <c r="A26" s="41" t="s">
        <v>168</v>
      </c>
      <c r="B26" s="49">
        <v>0</v>
      </c>
      <c r="D26" s="41" t="s">
        <v>168</v>
      </c>
      <c r="E26" s="49">
        <v>0</v>
      </c>
      <c r="G26" s="41" t="s">
        <v>168</v>
      </c>
      <c r="H26" s="49">
        <v>0</v>
      </c>
    </row>
    <row r="27" spans="1:26" ht="12.75" customHeight="1">
      <c r="A27" s="41" t="s">
        <v>169</v>
      </c>
      <c r="B27" s="49">
        <v>0</v>
      </c>
      <c r="D27" s="41" t="s">
        <v>169</v>
      </c>
      <c r="E27" s="49">
        <v>0</v>
      </c>
      <c r="G27" s="41" t="s">
        <v>169</v>
      </c>
      <c r="H27" s="49">
        <v>0</v>
      </c>
    </row>
    <row r="28" spans="1:26" ht="12.75" customHeight="1">
      <c r="A28" s="41" t="s">
        <v>170</v>
      </c>
      <c r="B28" s="49">
        <v>0</v>
      </c>
      <c r="D28" s="41" t="s">
        <v>170</v>
      </c>
      <c r="E28" s="49">
        <v>0</v>
      </c>
      <c r="G28" s="41" t="s">
        <v>170</v>
      </c>
      <c r="H28" s="49">
        <v>0</v>
      </c>
      <c r="J28" s="41" t="s">
        <v>171</v>
      </c>
    </row>
    <row r="29" spans="1:26" ht="12.75" customHeight="1">
      <c r="A29" s="41" t="s">
        <v>172</v>
      </c>
      <c r="B29" s="49">
        <v>0</v>
      </c>
      <c r="D29" s="41" t="s">
        <v>172</v>
      </c>
      <c r="E29" s="49">
        <v>0</v>
      </c>
      <c r="G29" s="41" t="s">
        <v>172</v>
      </c>
      <c r="H29" s="49">
        <v>0</v>
      </c>
    </row>
    <row r="30" spans="1:26" ht="12.75" customHeight="1">
      <c r="B30" s="49"/>
      <c r="E30" s="49"/>
      <c r="H30" s="49"/>
    </row>
    <row r="31" spans="1:26" ht="12.75" customHeight="1">
      <c r="A31" s="52" t="s">
        <v>173</v>
      </c>
      <c r="B31" s="53"/>
      <c r="C31" s="54"/>
      <c r="D31" s="52" t="s">
        <v>173</v>
      </c>
      <c r="E31" s="53"/>
      <c r="F31" s="54"/>
      <c r="G31" s="52" t="s">
        <v>173</v>
      </c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2.75" customHeight="1">
      <c r="A32" s="48" t="s">
        <v>25</v>
      </c>
      <c r="B32" s="55"/>
      <c r="C32" s="31"/>
      <c r="D32" s="48" t="s">
        <v>25</v>
      </c>
      <c r="E32" s="55"/>
      <c r="F32" s="31"/>
      <c r="G32" s="48" t="s">
        <v>25</v>
      </c>
      <c r="H32" s="55"/>
    </row>
    <row r="33" spans="1:8" ht="12.75" customHeight="1">
      <c r="A33" s="48" t="s">
        <v>174</v>
      </c>
      <c r="B33" s="55"/>
      <c r="C33" s="31"/>
      <c r="D33" s="48" t="s">
        <v>174</v>
      </c>
      <c r="E33" s="55"/>
      <c r="F33" s="31"/>
      <c r="G33" s="48" t="s">
        <v>174</v>
      </c>
      <c r="H33" s="55"/>
    </row>
    <row r="34" spans="1:8" ht="12.75" customHeight="1">
      <c r="A34" s="48" t="s">
        <v>175</v>
      </c>
      <c r="B34" s="55"/>
      <c r="C34" s="31"/>
      <c r="D34" s="48" t="s">
        <v>175</v>
      </c>
      <c r="E34" s="55"/>
      <c r="F34" s="31"/>
      <c r="G34" s="48" t="s">
        <v>175</v>
      </c>
      <c r="H34" s="55"/>
    </row>
    <row r="35" spans="1:8" ht="12.75" customHeight="1">
      <c r="A35" s="48" t="s">
        <v>176</v>
      </c>
      <c r="B35" s="55">
        <v>7650</v>
      </c>
      <c r="C35" s="31"/>
      <c r="D35" s="48" t="s">
        <v>176</v>
      </c>
      <c r="E35" s="56">
        <v>9000</v>
      </c>
      <c r="F35" s="31"/>
      <c r="G35" s="48" t="s">
        <v>176</v>
      </c>
      <c r="H35" s="55">
        <v>30000</v>
      </c>
    </row>
    <row r="36" spans="1:8" ht="12.75" customHeight="1">
      <c r="A36" s="57" t="s">
        <v>177</v>
      </c>
      <c r="B36" s="49">
        <f>SUM(B20:B35)</f>
        <v>406650</v>
      </c>
      <c r="D36" s="57" t="s">
        <v>177</v>
      </c>
      <c r="E36" s="58">
        <f>SUM(E20:E35)</f>
        <v>624320</v>
      </c>
      <c r="G36" s="57" t="s">
        <v>177</v>
      </c>
      <c r="H36" s="49">
        <f>SUM(H20:H35)</f>
        <v>880500</v>
      </c>
    </row>
    <row r="37" spans="1:8" ht="12.75" customHeight="1">
      <c r="A37" s="59"/>
      <c r="B37" s="49"/>
      <c r="D37" s="59"/>
      <c r="E37" s="49"/>
      <c r="G37" s="59"/>
      <c r="H37" s="49"/>
    </row>
    <row r="38" spans="1:8" ht="12.75" customHeight="1"/>
    <row r="39" spans="1:8" ht="12.75" customHeight="1">
      <c r="A39" s="47" t="s">
        <v>178</v>
      </c>
      <c r="B39" s="47"/>
      <c r="D39" s="47" t="s">
        <v>178</v>
      </c>
      <c r="E39" s="47"/>
      <c r="G39" s="47" t="s">
        <v>178</v>
      </c>
      <c r="H39" s="47"/>
    </row>
    <row r="40" spans="1:8" ht="12.75" customHeight="1">
      <c r="A40" s="48" t="s">
        <v>179</v>
      </c>
      <c r="B40" s="60">
        <v>56275</v>
      </c>
      <c r="C40" s="31"/>
      <c r="D40" s="48" t="s">
        <v>179</v>
      </c>
      <c r="E40" s="60">
        <f>B40*1.25</f>
        <v>70343.75</v>
      </c>
      <c r="F40" s="31"/>
      <c r="G40" s="48" t="s">
        <v>179</v>
      </c>
      <c r="H40" s="60">
        <f>E40</f>
        <v>70343.75</v>
      </c>
    </row>
    <row r="41" spans="1:8" ht="12.75" customHeight="1">
      <c r="A41" s="48" t="s">
        <v>180</v>
      </c>
      <c r="B41" s="60">
        <v>17500</v>
      </c>
      <c r="C41" s="31"/>
      <c r="D41" s="48" t="s">
        <v>180</v>
      </c>
      <c r="E41" s="60">
        <v>17500</v>
      </c>
      <c r="F41" s="31"/>
      <c r="G41" s="48" t="s">
        <v>180</v>
      </c>
      <c r="H41" s="60">
        <v>17500</v>
      </c>
    </row>
    <row r="42" spans="1:8" ht="12.75" customHeight="1">
      <c r="A42" s="48" t="s">
        <v>181</v>
      </c>
      <c r="B42" s="56"/>
      <c r="C42" s="31"/>
      <c r="D42" s="48" t="s">
        <v>181</v>
      </c>
      <c r="E42" s="56"/>
      <c r="F42" s="48"/>
      <c r="G42" s="48" t="s">
        <v>181</v>
      </c>
      <c r="H42" s="56">
        <f>0.1*H20</f>
        <v>85050</v>
      </c>
    </row>
    <row r="43" spans="1:8" ht="12.75" customHeight="1">
      <c r="A43" s="48" t="s">
        <v>182</v>
      </c>
      <c r="B43" s="60">
        <v>30000</v>
      </c>
      <c r="C43" s="31"/>
      <c r="D43" s="48" t="s">
        <v>182</v>
      </c>
      <c r="E43" s="60">
        <v>30000</v>
      </c>
      <c r="F43" s="31"/>
      <c r="G43" s="48" t="s">
        <v>182</v>
      </c>
      <c r="H43" s="60">
        <v>30000</v>
      </c>
    </row>
    <row r="44" spans="1:8" ht="12.75" customHeight="1">
      <c r="A44" s="48" t="s">
        <v>183</v>
      </c>
      <c r="B44" s="56"/>
      <c r="C44" s="31"/>
      <c r="D44" s="48" t="s">
        <v>183</v>
      </c>
      <c r="E44" s="56"/>
      <c r="F44" s="31"/>
      <c r="G44" s="48" t="s">
        <v>183</v>
      </c>
      <c r="H44" s="56"/>
    </row>
    <row r="45" spans="1:8" ht="12.75" customHeight="1">
      <c r="A45" s="48" t="s">
        <v>184</v>
      </c>
      <c r="B45" s="56">
        <v>17000</v>
      </c>
      <c r="C45" s="31"/>
      <c r="D45" s="48" t="s">
        <v>184</v>
      </c>
      <c r="E45" s="56">
        <v>17000</v>
      </c>
      <c r="F45" s="31"/>
      <c r="G45" s="48" t="s">
        <v>184</v>
      </c>
      <c r="H45" s="56">
        <v>17000</v>
      </c>
    </row>
    <row r="46" spans="1:8" ht="12.75" customHeight="1">
      <c r="A46" s="48" t="s">
        <v>185</v>
      </c>
      <c r="B46" s="56"/>
      <c r="C46" s="31"/>
      <c r="D46" s="48" t="s">
        <v>185</v>
      </c>
      <c r="E46" s="56"/>
      <c r="F46" s="31"/>
      <c r="G46" s="48" t="s">
        <v>185</v>
      </c>
      <c r="H46" s="56"/>
    </row>
    <row r="47" spans="1:8" ht="12.75" customHeight="1">
      <c r="A47" s="48" t="s">
        <v>186</v>
      </c>
      <c r="B47" s="56">
        <f>550*12</f>
        <v>6600</v>
      </c>
      <c r="C47" s="31"/>
      <c r="D47" s="48" t="s">
        <v>186</v>
      </c>
      <c r="E47" s="56">
        <f>550*12</f>
        <v>6600</v>
      </c>
      <c r="F47" s="31"/>
      <c r="G47" s="48" t="s">
        <v>186</v>
      </c>
      <c r="H47" s="56">
        <f>550*12</f>
        <v>6600</v>
      </c>
    </row>
    <row r="48" spans="1:8" ht="12.75" customHeight="1">
      <c r="A48" s="48" t="s">
        <v>187</v>
      </c>
      <c r="B48" s="56"/>
      <c r="C48" s="31"/>
      <c r="D48" s="48" t="s">
        <v>187</v>
      </c>
      <c r="E48" s="56"/>
      <c r="F48" s="31"/>
      <c r="G48" s="48" t="s">
        <v>187</v>
      </c>
      <c r="H48" s="56"/>
    </row>
    <row r="49" spans="1:10" ht="12.75" customHeight="1">
      <c r="A49" s="48" t="s">
        <v>188</v>
      </c>
      <c r="B49" s="56">
        <f>0.04*B20</f>
        <v>15960</v>
      </c>
      <c r="C49" s="31"/>
      <c r="D49" s="48" t="s">
        <v>188</v>
      </c>
      <c r="E49" s="56">
        <f>0.04*E20</f>
        <v>24612.799999999999</v>
      </c>
      <c r="F49" s="31"/>
      <c r="G49" s="48" t="s">
        <v>188</v>
      </c>
      <c r="H49" s="56">
        <f>0.04*H20</f>
        <v>34020</v>
      </c>
      <c r="J49" s="41"/>
    </row>
    <row r="50" spans="1:10" ht="12.75" customHeight="1">
      <c r="A50" s="48" t="s">
        <v>189</v>
      </c>
      <c r="B50" s="60">
        <f>E50</f>
        <v>0</v>
      </c>
      <c r="C50" s="31"/>
      <c r="D50" s="48" t="s">
        <v>189</v>
      </c>
      <c r="E50" s="60">
        <f>H50</f>
        <v>0</v>
      </c>
      <c r="F50" s="31"/>
      <c r="G50" s="48" t="s">
        <v>189</v>
      </c>
      <c r="H50" s="60">
        <f>K50</f>
        <v>0</v>
      </c>
      <c r="J50" s="41"/>
    </row>
    <row r="51" spans="1:10" ht="12.75" customHeight="1">
      <c r="A51" s="48" t="s">
        <v>190</v>
      </c>
      <c r="B51" s="56">
        <v>30000</v>
      </c>
      <c r="C51" s="31"/>
      <c r="D51" s="48" t="s">
        <v>190</v>
      </c>
      <c r="E51" s="56">
        <v>30000</v>
      </c>
      <c r="F51" s="31"/>
      <c r="G51" s="48" t="s">
        <v>190</v>
      </c>
      <c r="H51" s="56">
        <v>35000</v>
      </c>
    </row>
    <row r="52" spans="1:10" ht="12.75" customHeight="1">
      <c r="A52" s="48" t="s">
        <v>191</v>
      </c>
      <c r="B52" s="60"/>
      <c r="C52" s="31"/>
      <c r="D52" s="48" t="s">
        <v>191</v>
      </c>
      <c r="E52" s="60"/>
      <c r="F52" s="31"/>
      <c r="G52" s="48" t="s">
        <v>191</v>
      </c>
      <c r="H52" s="60"/>
    </row>
    <row r="53" spans="1:10" ht="12.75" customHeight="1">
      <c r="A53" s="48" t="s">
        <v>192</v>
      </c>
      <c r="B53" s="56">
        <v>0</v>
      </c>
      <c r="C53" s="31"/>
      <c r="D53" s="48" t="s">
        <v>192</v>
      </c>
      <c r="E53" s="56">
        <v>0</v>
      </c>
      <c r="F53" s="31"/>
      <c r="G53" s="48" t="s">
        <v>192</v>
      </c>
      <c r="H53" s="56">
        <v>0</v>
      </c>
    </row>
    <row r="54" spans="1:10" ht="12.75" customHeight="1">
      <c r="A54" s="48" t="s">
        <v>193</v>
      </c>
      <c r="B54" s="56">
        <v>0</v>
      </c>
      <c r="C54" s="31"/>
      <c r="D54" s="48" t="s">
        <v>193</v>
      </c>
      <c r="E54" s="56">
        <v>0</v>
      </c>
      <c r="F54" s="31"/>
      <c r="G54" s="48" t="s">
        <v>193</v>
      </c>
      <c r="H54" s="56">
        <v>0</v>
      </c>
    </row>
    <row r="55" spans="1:10" ht="12.75" customHeight="1">
      <c r="A55" s="48" t="s">
        <v>25</v>
      </c>
      <c r="B55" s="56"/>
      <c r="C55" s="31"/>
      <c r="D55" s="48" t="s">
        <v>25</v>
      </c>
      <c r="E55" s="56"/>
      <c r="F55" s="31"/>
      <c r="G55" s="48" t="s">
        <v>25</v>
      </c>
      <c r="H55" s="56"/>
    </row>
    <row r="56" spans="1:10" ht="12.75" customHeight="1">
      <c r="A56" s="31"/>
      <c r="B56" s="56"/>
      <c r="C56" s="31"/>
      <c r="D56" s="31"/>
      <c r="E56" s="56"/>
      <c r="F56" s="31"/>
      <c r="G56" s="31"/>
      <c r="H56" s="56"/>
    </row>
    <row r="57" spans="1:10" ht="12.75" customHeight="1">
      <c r="A57" s="59" t="s">
        <v>194</v>
      </c>
      <c r="B57" s="58">
        <f>SUM(B40:B55)</f>
        <v>173335</v>
      </c>
      <c r="D57" s="59" t="s">
        <v>194</v>
      </c>
      <c r="E57" s="58">
        <f>SUM(E40:E55)</f>
        <v>196056.55</v>
      </c>
      <c r="G57" s="59" t="s">
        <v>194</v>
      </c>
      <c r="H57" s="58">
        <f>SUM(H40:H55)</f>
        <v>295513.75</v>
      </c>
    </row>
    <row r="58" spans="1:10" ht="12.75" customHeight="1">
      <c r="A58" s="59"/>
      <c r="B58" s="58"/>
      <c r="D58" s="59"/>
      <c r="E58" s="58"/>
      <c r="G58" s="59"/>
      <c r="H58" s="58"/>
    </row>
    <row r="59" spans="1:10" ht="12.75" customHeight="1">
      <c r="B59" s="61"/>
      <c r="E59" s="61"/>
      <c r="H59" s="61"/>
    </row>
    <row r="60" spans="1:10" ht="12.75" customHeight="1">
      <c r="A60" s="62" t="s">
        <v>195</v>
      </c>
      <c r="B60" s="61"/>
      <c r="D60" s="62" t="s">
        <v>195</v>
      </c>
      <c r="E60" s="61"/>
      <c r="G60" s="62" t="s">
        <v>195</v>
      </c>
      <c r="H60" s="61"/>
    </row>
    <row r="61" spans="1:10" ht="12.75" customHeight="1">
      <c r="A61" s="63" t="s">
        <v>196</v>
      </c>
      <c r="B61" s="64">
        <f>B36-B57</f>
        <v>233315</v>
      </c>
      <c r="D61" s="63" t="s">
        <v>196</v>
      </c>
      <c r="E61" s="64">
        <f>E36-E57</f>
        <v>428263.45</v>
      </c>
      <c r="G61" s="63" t="s">
        <v>196</v>
      </c>
      <c r="H61" s="64">
        <f>H36-H57</f>
        <v>584986.25</v>
      </c>
    </row>
    <row r="62" spans="1:10" ht="12.75" customHeight="1">
      <c r="A62" s="63" t="s">
        <v>197</v>
      </c>
      <c r="B62" s="65">
        <f>B61/B14</f>
        <v>0.62233989337207829</v>
      </c>
      <c r="D62" s="63" t="s">
        <v>197</v>
      </c>
      <c r="E62" s="66">
        <f>E61/E14</f>
        <v>1.3132203809357845</v>
      </c>
      <c r="G62" s="63" t="s">
        <v>197</v>
      </c>
      <c r="H62" s="67">
        <f>H61/H14</f>
        <v>1.5603809461420479</v>
      </c>
    </row>
    <row r="63" spans="1:10" ht="12.75" customHeight="1">
      <c r="A63" s="63" t="s">
        <v>198</v>
      </c>
      <c r="B63" s="68">
        <f>B61-B14</f>
        <v>-141584.63681391062</v>
      </c>
      <c r="D63" s="63" t="s">
        <v>198</v>
      </c>
      <c r="E63" s="68">
        <f>E61-E14</f>
        <v>102146.48119783687</v>
      </c>
      <c r="G63" s="63" t="s">
        <v>198</v>
      </c>
      <c r="H63" s="68">
        <f>H61-H14</f>
        <v>210086.61318608938</v>
      </c>
    </row>
    <row r="64" spans="1:10" ht="12.75" customHeight="1">
      <c r="A64" s="69" t="s">
        <v>199</v>
      </c>
      <c r="B64" s="70">
        <f>B63/B10</f>
        <v>-0.15731626312656735</v>
      </c>
      <c r="D64" s="69" t="s">
        <v>199</v>
      </c>
      <c r="E64" s="70">
        <f>E63/E10</f>
        <v>9.0796872175854998E-2</v>
      </c>
      <c r="G64" s="69" t="s">
        <v>199</v>
      </c>
      <c r="H64" s="70">
        <f>H63/H10</f>
        <v>0.23342957020676597</v>
      </c>
    </row>
    <row r="65" spans="1:8" ht="12.75" customHeight="1">
      <c r="A65" s="41"/>
      <c r="B65" s="41"/>
      <c r="D65" s="41"/>
      <c r="E65" s="41"/>
      <c r="G65" s="41"/>
      <c r="H65" s="41"/>
    </row>
    <row r="66" spans="1:8" ht="12.75" customHeight="1">
      <c r="A66" s="41"/>
      <c r="B66" s="71"/>
      <c r="D66" s="41"/>
      <c r="E66" s="71"/>
      <c r="G66" s="41"/>
      <c r="H66" s="71"/>
    </row>
    <row r="67" spans="1:8" ht="12.75" customHeight="1">
      <c r="A67" s="72" t="s">
        <v>200</v>
      </c>
      <c r="B67" s="59" t="s">
        <v>149</v>
      </c>
      <c r="D67" s="72" t="s">
        <v>200</v>
      </c>
      <c r="E67" s="59" t="s">
        <v>149</v>
      </c>
      <c r="G67" s="72" t="s">
        <v>200</v>
      </c>
      <c r="H67" s="59" t="s">
        <v>149</v>
      </c>
    </row>
    <row r="68" spans="1:8" ht="12.75" customHeight="1">
      <c r="A68" s="73">
        <v>0.06</v>
      </c>
      <c r="B68" s="49">
        <f>B61/A68</f>
        <v>3888583.3333333335</v>
      </c>
      <c r="D68" s="73">
        <v>0.06</v>
      </c>
      <c r="E68" s="49">
        <f>E61/D68</f>
        <v>7137724.166666667</v>
      </c>
      <c r="G68" s="73">
        <v>0.06</v>
      </c>
      <c r="H68" s="49">
        <f>H61/G68</f>
        <v>9749770.833333334</v>
      </c>
    </row>
    <row r="69" spans="1:8" ht="12.75" customHeight="1">
      <c r="A69" s="73">
        <v>7.0000000000000007E-2</v>
      </c>
      <c r="B69" s="49">
        <f>B61/A69</f>
        <v>3333071.4285714282</v>
      </c>
      <c r="D69" s="73">
        <v>7.0000000000000007E-2</v>
      </c>
      <c r="E69" s="49">
        <f>E61/D69</f>
        <v>6118049.2857142854</v>
      </c>
      <c r="G69" s="73">
        <v>7.0000000000000007E-2</v>
      </c>
      <c r="H69" s="49">
        <f>H61/G69</f>
        <v>8356946.4285714282</v>
      </c>
    </row>
    <row r="70" spans="1:8" ht="12.75" customHeight="1">
      <c r="A70" s="73">
        <v>0.08</v>
      </c>
      <c r="B70" s="49">
        <f>B61/A70</f>
        <v>2916437.5</v>
      </c>
      <c r="D70" s="73">
        <v>0.08</v>
      </c>
      <c r="E70" s="49">
        <f>E61/D70</f>
        <v>5353293.125</v>
      </c>
      <c r="G70" s="73">
        <v>0.08</v>
      </c>
      <c r="H70" s="49">
        <f>H61/G70</f>
        <v>7312328.125</v>
      </c>
    </row>
    <row r="71" spans="1:8" ht="12.75" customHeight="1">
      <c r="A71" s="73">
        <v>0.09</v>
      </c>
      <c r="B71" s="49">
        <f>B61/A71</f>
        <v>2592388.888888889</v>
      </c>
      <c r="D71" s="73">
        <v>0.09</v>
      </c>
      <c r="E71" s="49">
        <f>E61/D71</f>
        <v>4758482.777777778</v>
      </c>
      <c r="G71" s="73">
        <v>0.09</v>
      </c>
      <c r="H71" s="49">
        <f>H61/G71</f>
        <v>6499847.222222222</v>
      </c>
    </row>
    <row r="72" spans="1:8" ht="12.75" customHeight="1">
      <c r="A72" s="73">
        <v>0.1</v>
      </c>
      <c r="B72" s="49">
        <f>B61/A72</f>
        <v>2333150</v>
      </c>
      <c r="D72" s="73">
        <v>0.1</v>
      </c>
      <c r="E72" s="49">
        <f>E61/D72</f>
        <v>4282634.5</v>
      </c>
      <c r="G72" s="73">
        <v>0.1</v>
      </c>
      <c r="H72" s="49">
        <f>H61/G72</f>
        <v>5849862.5</v>
      </c>
    </row>
    <row r="73" spans="1:8" ht="12.75" customHeight="1">
      <c r="A73" s="73">
        <v>0.11</v>
      </c>
      <c r="B73" s="49">
        <f>B61/A73</f>
        <v>2121045.4545454546</v>
      </c>
      <c r="D73" s="73">
        <v>0.11</v>
      </c>
      <c r="E73" s="49">
        <f>E61/D73</f>
        <v>3893304.0909090908</v>
      </c>
      <c r="G73" s="73">
        <v>0.11</v>
      </c>
      <c r="H73" s="49">
        <f>H61/G73</f>
        <v>5318056.8181818184</v>
      </c>
    </row>
    <row r="74" spans="1:8" ht="12.75" customHeight="1">
      <c r="A74" s="73">
        <v>0.12</v>
      </c>
      <c r="B74" s="49">
        <f>B61/A74</f>
        <v>1944291.6666666667</v>
      </c>
      <c r="D74" s="73">
        <v>0.12</v>
      </c>
      <c r="E74" s="49">
        <f>E61/D74</f>
        <v>3568862.0833333335</v>
      </c>
      <c r="G74" s="73">
        <v>0.12</v>
      </c>
      <c r="H74" s="49">
        <f>H61/G74</f>
        <v>4874885.416666667</v>
      </c>
    </row>
    <row r="75" spans="1:8" ht="12.75" customHeight="1"/>
    <row r="76" spans="1:8" ht="12.75" customHeight="1"/>
    <row r="77" spans="1:8" ht="12.75" customHeight="1"/>
    <row r="78" spans="1:8" ht="12.75" customHeight="1"/>
    <row r="79" spans="1:8" ht="12.75" customHeight="1"/>
    <row r="80" spans="1: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7:B7"/>
    <mergeCell ref="D7:E7"/>
    <mergeCell ref="G7:H7"/>
  </mergeCells>
  <pageMargins left="0.7" right="0.7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0"/>
  <sheetViews>
    <sheetView workbookViewId="0"/>
  </sheetViews>
  <sheetFormatPr defaultColWidth="14.42578125" defaultRowHeight="15" customHeight="1"/>
  <cols>
    <col min="1" max="1" width="26" customWidth="1"/>
    <col min="2" max="2" width="18.85546875" customWidth="1"/>
    <col min="3" max="26" width="8.7109375" customWidth="1"/>
  </cols>
  <sheetData>
    <row r="1" spans="1:3" ht="14.25" customHeight="1">
      <c r="A1" s="77" t="s">
        <v>201</v>
      </c>
      <c r="B1" s="78">
        <f>'Rent Roll 11-23'!G38</f>
        <v>615320</v>
      </c>
    </row>
    <row r="2" spans="1:3" ht="14.25" customHeight="1">
      <c r="A2" s="22"/>
      <c r="B2" s="22"/>
    </row>
    <row r="3" spans="1:3" ht="14.25" customHeight="1">
      <c r="A3" s="77" t="s">
        <v>178</v>
      </c>
      <c r="B3" s="22"/>
    </row>
    <row r="4" spans="1:3" ht="14.25" customHeight="1">
      <c r="A4" s="22" t="s">
        <v>179</v>
      </c>
      <c r="B4" s="79">
        <v>57000</v>
      </c>
    </row>
    <row r="5" spans="1:3" ht="14.25" customHeight="1">
      <c r="A5" s="22" t="s">
        <v>180</v>
      </c>
      <c r="B5" s="79">
        <v>22000</v>
      </c>
      <c r="C5" s="6" t="s">
        <v>202</v>
      </c>
    </row>
    <row r="6" spans="1:3" ht="14.25" customHeight="1">
      <c r="A6" s="22" t="s">
        <v>203</v>
      </c>
      <c r="B6" s="79">
        <f>50000*0.04*12</f>
        <v>24000</v>
      </c>
      <c r="C6" s="6" t="s">
        <v>204</v>
      </c>
    </row>
    <row r="7" spans="1:3" ht="14.25" customHeight="1">
      <c r="A7" s="22" t="s">
        <v>205</v>
      </c>
      <c r="B7" s="79">
        <v>30000</v>
      </c>
    </row>
    <row r="8" spans="1:3" ht="14.25" customHeight="1">
      <c r="A8" s="22" t="s">
        <v>206</v>
      </c>
      <c r="B8" s="79">
        <v>30000</v>
      </c>
    </row>
    <row r="9" spans="1:3" ht="14.25" customHeight="1">
      <c r="A9" s="22" t="s">
        <v>207</v>
      </c>
      <c r="B9" s="79">
        <v>10000</v>
      </c>
    </row>
    <row r="10" spans="1:3" ht="14.25" customHeight="1">
      <c r="A10" s="22" t="s">
        <v>208</v>
      </c>
      <c r="B10" s="79">
        <v>7000</v>
      </c>
    </row>
    <row r="11" spans="1:3" ht="14.25" customHeight="1">
      <c r="A11" s="77" t="s">
        <v>209</v>
      </c>
      <c r="B11" s="78">
        <f>SUM(B4:B10)</f>
        <v>180000</v>
      </c>
    </row>
    <row r="12" spans="1:3" ht="14.25" customHeight="1">
      <c r="A12" s="22"/>
      <c r="B12" s="22"/>
    </row>
    <row r="13" spans="1:3" ht="14.25" customHeight="1">
      <c r="A13" s="22"/>
      <c r="B13" s="22"/>
    </row>
    <row r="14" spans="1:3" ht="14.25" customHeight="1">
      <c r="A14" s="77" t="s">
        <v>196</v>
      </c>
      <c r="B14" s="78">
        <f>B1-B11</f>
        <v>435320</v>
      </c>
    </row>
    <row r="15" spans="1:3" ht="14.25" customHeight="1">
      <c r="A15" s="22"/>
      <c r="B15" s="80"/>
    </row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2578125" defaultRowHeight="15" customHeight="1"/>
  <cols>
    <col min="1" max="1" width="14" customWidth="1"/>
    <col min="2" max="2" width="10.42578125" customWidth="1"/>
    <col min="3" max="4" width="23.5703125" customWidth="1"/>
    <col min="5" max="5" width="41.7109375" customWidth="1"/>
    <col min="6" max="6" width="43.140625" customWidth="1"/>
    <col min="7" max="7" width="20.85546875" customWidth="1"/>
    <col min="8" max="8" width="21.28515625" customWidth="1"/>
    <col min="9" max="9" width="15.28515625" customWidth="1"/>
    <col min="10" max="10" width="20" customWidth="1"/>
    <col min="11" max="11" width="9.42578125" customWidth="1"/>
    <col min="12" max="26" width="8.7109375" customWidth="1"/>
  </cols>
  <sheetData>
    <row r="1" spans="1:26" ht="14.25" customHeight="1">
      <c r="A1" s="81"/>
      <c r="B1" s="82"/>
      <c r="C1" s="82"/>
      <c r="D1" s="82"/>
      <c r="E1" s="82"/>
      <c r="F1" s="82"/>
      <c r="G1" s="125" t="s">
        <v>210</v>
      </c>
      <c r="H1" s="122"/>
      <c r="I1" s="125" t="s">
        <v>211</v>
      </c>
      <c r="J1" s="12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4.25" customHeight="1">
      <c r="A2" s="81" t="s">
        <v>0</v>
      </c>
      <c r="B2" s="82" t="s">
        <v>4</v>
      </c>
      <c r="C2" s="82" t="s">
        <v>1</v>
      </c>
      <c r="D2" s="82" t="s">
        <v>212</v>
      </c>
      <c r="E2" s="82" t="s">
        <v>213</v>
      </c>
      <c r="F2" s="82" t="s">
        <v>180</v>
      </c>
      <c r="G2" s="82" t="s">
        <v>214</v>
      </c>
      <c r="H2" s="84" t="s">
        <v>215</v>
      </c>
      <c r="I2" s="82" t="s">
        <v>214</v>
      </c>
      <c r="J2" s="84" t="s">
        <v>215</v>
      </c>
      <c r="K2" s="83" t="s">
        <v>216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4.25" customHeight="1">
      <c r="A3" s="85">
        <v>100</v>
      </c>
      <c r="B3" s="86">
        <v>2.81E-2</v>
      </c>
      <c r="C3" s="86" t="s">
        <v>60</v>
      </c>
      <c r="D3" s="87">
        <v>45200</v>
      </c>
      <c r="E3" s="86" t="s">
        <v>217</v>
      </c>
      <c r="F3" s="86" t="s">
        <v>218</v>
      </c>
      <c r="G3" s="88">
        <f>(B49-B43)*B3</f>
        <v>152.1053</v>
      </c>
      <c r="H3" s="84">
        <f t="shared" ref="H3:H4" si="0">B3*30000</f>
        <v>843</v>
      </c>
      <c r="I3" s="88">
        <v>152.1053</v>
      </c>
      <c r="J3" s="84">
        <v>843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4.25" customHeight="1">
      <c r="A4" s="85">
        <v>102</v>
      </c>
      <c r="B4" s="86">
        <v>1.0999999999999999E-2</v>
      </c>
      <c r="C4" s="86" t="s">
        <v>65</v>
      </c>
      <c r="D4" s="87">
        <v>45319</v>
      </c>
      <c r="E4" s="86" t="s">
        <v>217</v>
      </c>
      <c r="F4" s="86" t="s">
        <v>218</v>
      </c>
      <c r="G4" s="88">
        <f>B4*(B49-B42)</f>
        <v>63.887999999999998</v>
      </c>
      <c r="H4" s="84">
        <f t="shared" si="0"/>
        <v>330</v>
      </c>
      <c r="I4" s="88">
        <v>63.887999999999998</v>
      </c>
      <c r="J4" s="84">
        <v>330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4.25" customHeight="1">
      <c r="A5" s="85" t="s">
        <v>219</v>
      </c>
      <c r="B5" s="86">
        <v>3.9899999999999998E-2</v>
      </c>
      <c r="C5" s="86" t="s">
        <v>41</v>
      </c>
      <c r="D5" s="87"/>
      <c r="E5" s="86"/>
      <c r="F5" s="86"/>
      <c r="G5" s="88"/>
      <c r="H5" s="84"/>
      <c r="I5" s="88"/>
      <c r="J5" s="84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4.25" customHeight="1">
      <c r="A6" s="85">
        <v>105</v>
      </c>
      <c r="B6" s="86">
        <v>1.95E-2</v>
      </c>
      <c r="C6" s="86" t="s">
        <v>72</v>
      </c>
      <c r="D6" s="87">
        <v>44713</v>
      </c>
      <c r="E6" s="86" t="s">
        <v>217</v>
      </c>
      <c r="F6" s="86" t="s">
        <v>218</v>
      </c>
      <c r="G6" s="88">
        <f>B6*(B49-B42)</f>
        <v>113.256</v>
      </c>
      <c r="H6" s="84">
        <f t="shared" ref="H6:H7" si="1">B6*30000</f>
        <v>585</v>
      </c>
      <c r="I6" s="88">
        <v>113.256</v>
      </c>
      <c r="J6" s="84">
        <v>585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4.25" customHeight="1">
      <c r="A7" s="85">
        <v>106</v>
      </c>
      <c r="B7" s="86">
        <v>1.8599999999999998E-2</v>
      </c>
      <c r="C7" s="86" t="s">
        <v>220</v>
      </c>
      <c r="D7" s="87">
        <v>45352</v>
      </c>
      <c r="E7" s="86" t="s">
        <v>217</v>
      </c>
      <c r="F7" s="86" t="s">
        <v>218</v>
      </c>
      <c r="G7" s="88">
        <f>B7*(B49-B42)</f>
        <v>108.02879999999999</v>
      </c>
      <c r="H7" s="84">
        <f t="shared" si="1"/>
        <v>558</v>
      </c>
      <c r="I7" s="88">
        <v>108.02879999999999</v>
      </c>
      <c r="J7" s="84">
        <v>558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14.25" customHeight="1">
      <c r="A8" s="85" t="s">
        <v>221</v>
      </c>
      <c r="B8" s="86">
        <v>5.9900000000000002E-2</v>
      </c>
      <c r="C8" s="86" t="s">
        <v>222</v>
      </c>
      <c r="D8" s="87"/>
      <c r="E8" s="86"/>
      <c r="F8" s="86"/>
      <c r="G8" s="83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14.25" customHeight="1">
      <c r="A9" s="85">
        <v>110</v>
      </c>
      <c r="B9" s="86">
        <v>1.9199999999999998E-2</v>
      </c>
      <c r="C9" s="86" t="s">
        <v>41</v>
      </c>
      <c r="D9" s="87"/>
      <c r="E9" s="86"/>
      <c r="F9" s="86"/>
      <c r="G9" s="88"/>
      <c r="H9" s="84"/>
      <c r="I9" s="88"/>
      <c r="J9" s="84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14.25" customHeight="1">
      <c r="A10" s="85">
        <v>111</v>
      </c>
      <c r="B10" s="86">
        <v>1.8599999999999998E-2</v>
      </c>
      <c r="C10" s="86" t="s">
        <v>41</v>
      </c>
      <c r="D10" s="87"/>
      <c r="E10" s="86"/>
      <c r="F10" s="86"/>
      <c r="G10" s="88"/>
      <c r="H10" s="84"/>
      <c r="I10" s="88"/>
      <c r="J10" s="84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14.25" customHeight="1">
      <c r="A11" s="85">
        <v>112</v>
      </c>
      <c r="B11" s="86">
        <v>1.8599999999999998E-2</v>
      </c>
      <c r="C11" s="86" t="s">
        <v>8</v>
      </c>
      <c r="D11" s="87">
        <v>45657</v>
      </c>
      <c r="E11" s="86"/>
      <c r="F11" s="86"/>
      <c r="G11" s="88"/>
      <c r="H11" s="84"/>
      <c r="I11" s="88">
        <f>$B$49*$B11</f>
        <v>325.5</v>
      </c>
      <c r="J11" s="83">
        <f>30000*B11</f>
        <v>558</v>
      </c>
      <c r="K11" s="88">
        <f>$B11*$C$49</f>
        <v>596.33236799999997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4.25" customHeight="1">
      <c r="A12" s="85">
        <v>113</v>
      </c>
      <c r="B12" s="86">
        <v>0</v>
      </c>
      <c r="C12" s="86" t="s">
        <v>41</v>
      </c>
      <c r="D12" s="87"/>
      <c r="E12" s="86"/>
      <c r="F12" s="86"/>
      <c r="G12" s="88"/>
      <c r="H12" s="84"/>
      <c r="I12" s="88"/>
      <c r="J12" s="84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4.25" customHeight="1">
      <c r="A13" s="85">
        <v>114</v>
      </c>
      <c r="B13" s="86">
        <v>3.0200000000000001E-2</v>
      </c>
      <c r="C13" s="86" t="s">
        <v>80</v>
      </c>
      <c r="D13" s="87"/>
      <c r="E13" s="86"/>
      <c r="F13" s="86"/>
      <c r="G13" s="88">
        <f>$B$49*$B13</f>
        <v>528.5</v>
      </c>
      <c r="H13" s="88">
        <f>$B13*$C$49</f>
        <v>968.23857600000008</v>
      </c>
      <c r="I13" s="88">
        <f t="shared" ref="I13:I14" si="2">$B$49*$B13</f>
        <v>528.5</v>
      </c>
      <c r="J13" s="88">
        <f>$B13*$C$49</f>
        <v>968.23857600000008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4.25" customHeight="1">
      <c r="A14" s="85">
        <v>115</v>
      </c>
      <c r="B14" s="86">
        <v>1.9800000000000002E-2</v>
      </c>
      <c r="C14" s="86" t="s">
        <v>10</v>
      </c>
      <c r="D14" s="87">
        <v>45627</v>
      </c>
      <c r="E14" s="86"/>
      <c r="F14" s="86"/>
      <c r="G14" s="88"/>
      <c r="H14" s="84"/>
      <c r="I14" s="88">
        <f t="shared" si="2"/>
        <v>346.50000000000006</v>
      </c>
      <c r="J14" s="83">
        <f>30000*B14</f>
        <v>594</v>
      </c>
      <c r="K14" s="88">
        <f>$B14*$C$49</f>
        <v>634.80542400000002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4.25" customHeight="1">
      <c r="A15" s="85">
        <v>116</v>
      </c>
      <c r="B15" s="86">
        <v>3.4299999999999997E-2</v>
      </c>
      <c r="C15" s="86" t="s">
        <v>41</v>
      </c>
      <c r="D15" s="87">
        <v>45200</v>
      </c>
      <c r="E15" s="86"/>
      <c r="F15" s="86"/>
      <c r="G15" s="88"/>
      <c r="H15" s="84"/>
      <c r="I15" s="88"/>
      <c r="J15" s="84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4.25" customHeight="1">
      <c r="A16" s="85">
        <v>117</v>
      </c>
      <c r="B16" s="86">
        <v>4.7199999999999999E-2</v>
      </c>
      <c r="C16" s="86" t="s">
        <v>85</v>
      </c>
      <c r="D16" s="87"/>
      <c r="E16" s="86" t="s">
        <v>217</v>
      </c>
      <c r="F16" s="86" t="s">
        <v>218</v>
      </c>
      <c r="G16" s="88">
        <f>B16*(B49-B42)</f>
        <v>274.13760000000002</v>
      </c>
      <c r="H16" s="84">
        <f>B16*30000</f>
        <v>1416</v>
      </c>
      <c r="I16" s="88">
        <v>274.13760000000002</v>
      </c>
      <c r="J16" s="84">
        <v>1416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4.25" customHeight="1">
      <c r="A17" s="85" t="s">
        <v>33</v>
      </c>
      <c r="B17" s="86">
        <v>0.10639999999999999</v>
      </c>
      <c r="C17" s="86" t="s">
        <v>89</v>
      </c>
      <c r="D17" s="87">
        <v>44440</v>
      </c>
      <c r="E17" s="86"/>
      <c r="F17" s="86"/>
      <c r="G17" s="88" t="s">
        <v>223</v>
      </c>
      <c r="H17" s="88" t="s">
        <v>223</v>
      </c>
      <c r="I17" s="88" t="s">
        <v>223</v>
      </c>
      <c r="J17" s="88" t="s">
        <v>223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4.25" customHeight="1">
      <c r="A18" s="85" t="s">
        <v>92</v>
      </c>
      <c r="B18" s="86">
        <v>3.6700000000000003E-2</v>
      </c>
      <c r="C18" s="86" t="s">
        <v>93</v>
      </c>
      <c r="D18" s="87"/>
      <c r="E18" s="86"/>
      <c r="F18" s="86"/>
      <c r="G18" s="88">
        <f>B18*(B49-B42)</f>
        <v>213.15360000000001</v>
      </c>
      <c r="H18" s="84"/>
      <c r="I18" s="88">
        <f t="shared" ref="I18:I19" si="3">$B$49*$B18</f>
        <v>642.25000000000011</v>
      </c>
      <c r="J18" s="83">
        <f t="shared" ref="J18:J19" si="4">30000*B18</f>
        <v>1101</v>
      </c>
      <c r="K18" s="88">
        <f t="shared" ref="K18:K19" si="5">$B18*$C$49</f>
        <v>1176.6342960000002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4.25" customHeight="1">
      <c r="A19" s="85">
        <v>210</v>
      </c>
      <c r="B19" s="86">
        <v>1.7600000000000001E-2</v>
      </c>
      <c r="C19" s="86" t="s">
        <v>97</v>
      </c>
      <c r="D19" s="87"/>
      <c r="E19" s="86"/>
      <c r="F19" s="86" t="s">
        <v>224</v>
      </c>
      <c r="G19" s="88">
        <f>B19*(B49-B42)</f>
        <v>102.22080000000001</v>
      </c>
      <c r="H19" s="84"/>
      <c r="I19" s="88">
        <f t="shared" si="3"/>
        <v>308</v>
      </c>
      <c r="J19" s="83">
        <f t="shared" si="4"/>
        <v>528</v>
      </c>
      <c r="K19" s="88">
        <f t="shared" si="5"/>
        <v>564.27148800000009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4.25" customHeight="1">
      <c r="A20" s="85">
        <v>211</v>
      </c>
      <c r="B20" s="86">
        <v>3.5999999999999997E-2</v>
      </c>
      <c r="C20" s="86" t="s">
        <v>41</v>
      </c>
      <c r="D20" s="87"/>
      <c r="E20" s="86"/>
      <c r="F20" s="86"/>
      <c r="G20" s="88"/>
      <c r="H20" s="84"/>
      <c r="I20" s="88"/>
      <c r="J20" s="84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4.25" customHeight="1">
      <c r="A21" s="85">
        <v>212</v>
      </c>
      <c r="B21" s="86">
        <v>1.8700000000000001E-2</v>
      </c>
      <c r="C21" s="86" t="s">
        <v>12</v>
      </c>
      <c r="D21" s="87"/>
      <c r="E21" s="86"/>
      <c r="F21" s="86"/>
      <c r="G21" s="88"/>
      <c r="H21" s="84"/>
      <c r="I21" s="88">
        <f>$B$49*$B21</f>
        <v>327.25</v>
      </c>
      <c r="J21" s="83">
        <f>30000*B21</f>
        <v>561</v>
      </c>
      <c r="K21" s="88">
        <f>$B21*$C$49</f>
        <v>599.53845600000011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4.25" customHeight="1">
      <c r="A22" s="85">
        <v>213</v>
      </c>
      <c r="B22" s="86">
        <v>1.8599999999999998E-2</v>
      </c>
      <c r="C22" s="86" t="s">
        <v>41</v>
      </c>
      <c r="D22" s="87"/>
      <c r="E22" s="86"/>
      <c r="F22" s="86"/>
      <c r="G22" s="88"/>
      <c r="H22" s="84"/>
      <c r="I22" s="88"/>
      <c r="J22" s="84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4.25" customHeight="1">
      <c r="A23" s="85">
        <v>214</v>
      </c>
      <c r="B23" s="86">
        <v>2.7400000000000001E-2</v>
      </c>
      <c r="C23" s="86" t="s">
        <v>41</v>
      </c>
      <c r="D23" s="87"/>
      <c r="E23" s="86"/>
      <c r="F23" s="86"/>
      <c r="G23" s="88"/>
      <c r="H23" s="84"/>
      <c r="I23" s="88"/>
      <c r="J23" s="84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4.25" customHeight="1">
      <c r="A24" s="85">
        <v>215</v>
      </c>
      <c r="B24" s="86">
        <v>3.85E-2</v>
      </c>
      <c r="C24" s="86" t="s">
        <v>41</v>
      </c>
      <c r="D24" s="87"/>
      <c r="E24" s="86"/>
      <c r="F24" s="86"/>
      <c r="G24" s="88"/>
      <c r="H24" s="84"/>
      <c r="I24" s="88"/>
      <c r="J24" s="84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4.25" customHeight="1">
      <c r="A25" s="85">
        <v>216</v>
      </c>
      <c r="B25" s="86">
        <v>2.7199999999999998E-2</v>
      </c>
      <c r="C25" s="86" t="s">
        <v>225</v>
      </c>
      <c r="D25" s="87"/>
      <c r="E25" s="86"/>
      <c r="F25" s="86"/>
      <c r="G25" s="88"/>
      <c r="H25" s="84"/>
      <c r="I25" s="88"/>
      <c r="J25" s="84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4.25" customHeight="1">
      <c r="A26" s="85">
        <v>301</v>
      </c>
      <c r="B26" s="86">
        <v>2.69E-2</v>
      </c>
      <c r="C26" s="86" t="s">
        <v>20</v>
      </c>
      <c r="D26" s="87"/>
      <c r="E26" s="86"/>
      <c r="F26" s="86"/>
      <c r="G26" s="88"/>
      <c r="H26" s="84"/>
      <c r="I26" s="88">
        <f>$B$49*$B26</f>
        <v>470.75</v>
      </c>
      <c r="J26" s="83">
        <f>30000*B26</f>
        <v>807</v>
      </c>
      <c r="K26" s="88">
        <f>$B26*$C$49</f>
        <v>862.43767200000002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4.25" customHeight="1">
      <c r="A27" s="85">
        <v>302</v>
      </c>
      <c r="B27" s="86">
        <v>1.72E-2</v>
      </c>
      <c r="C27" s="86" t="s">
        <v>41</v>
      </c>
      <c r="D27" s="87"/>
      <c r="E27" s="86"/>
      <c r="F27" s="86"/>
      <c r="G27" s="88"/>
      <c r="H27" s="84"/>
      <c r="I27" s="88"/>
      <c r="J27" s="84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4.25" customHeight="1">
      <c r="A28" s="85">
        <v>305</v>
      </c>
      <c r="B28" s="86">
        <v>1.7000000000000001E-2</v>
      </c>
      <c r="C28" s="86" t="s">
        <v>21</v>
      </c>
      <c r="D28" s="87"/>
      <c r="E28" s="86"/>
      <c r="F28" s="86"/>
      <c r="G28" s="88"/>
      <c r="H28" s="84"/>
      <c r="I28" s="88">
        <f>$B$49*$B28</f>
        <v>297.5</v>
      </c>
      <c r="J28" s="83">
        <f>30000*B28</f>
        <v>510.00000000000006</v>
      </c>
      <c r="K28" s="88">
        <f>$B28*$C$49</f>
        <v>545.03496000000007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4.25" customHeight="1">
      <c r="A29" s="85">
        <v>307</v>
      </c>
      <c r="B29" s="86">
        <v>2.1899999999999999E-2</v>
      </c>
      <c r="C29" s="86" t="s">
        <v>41</v>
      </c>
      <c r="D29" s="87"/>
      <c r="E29" s="86"/>
      <c r="F29" s="86"/>
      <c r="G29" s="88"/>
      <c r="H29" s="84"/>
      <c r="I29" s="88"/>
      <c r="J29" s="84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4.25" customHeight="1">
      <c r="A30" s="85">
        <v>308</v>
      </c>
      <c r="B30" s="86">
        <v>2.35E-2</v>
      </c>
      <c r="C30" s="86" t="s">
        <v>226</v>
      </c>
      <c r="D30" s="87"/>
      <c r="E30" s="86"/>
      <c r="F30" s="86"/>
      <c r="G30" s="88"/>
      <c r="H30" s="84"/>
      <c r="I30" s="88">
        <f>$B$49*$B30</f>
        <v>411.25</v>
      </c>
      <c r="J30" s="83">
        <f>30000*B30</f>
        <v>705</v>
      </c>
      <c r="K30" s="88">
        <f>$B30*$C$49</f>
        <v>753.43068000000005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4.25" customHeight="1">
      <c r="A31" s="85" t="s">
        <v>49</v>
      </c>
      <c r="B31" s="86">
        <v>1.77E-2</v>
      </c>
      <c r="C31" s="86" t="s">
        <v>41</v>
      </c>
      <c r="D31" s="87"/>
      <c r="E31" s="86"/>
      <c r="F31" s="86"/>
      <c r="G31" s="88"/>
      <c r="H31" s="84"/>
      <c r="I31" s="88"/>
      <c r="J31" s="84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4.25" customHeight="1">
      <c r="A32" s="85">
        <v>311</v>
      </c>
      <c r="B32" s="86">
        <v>1.7299999999999999E-2</v>
      </c>
      <c r="C32" s="86" t="s">
        <v>41</v>
      </c>
      <c r="D32" s="87"/>
      <c r="E32" s="86"/>
      <c r="F32" s="86"/>
      <c r="G32" s="88"/>
      <c r="H32" s="84"/>
      <c r="I32" s="88"/>
      <c r="J32" s="84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4.25" customHeight="1">
      <c r="A33" s="85">
        <v>312</v>
      </c>
      <c r="B33" s="86">
        <v>1.7600000000000001E-2</v>
      </c>
      <c r="C33" s="86" t="s">
        <v>41</v>
      </c>
      <c r="D33" s="87"/>
      <c r="E33" s="86"/>
      <c r="F33" s="86"/>
      <c r="G33" s="88"/>
      <c r="H33" s="84"/>
      <c r="I33" s="88"/>
      <c r="J33" s="84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4.25" customHeight="1">
      <c r="A34" s="85">
        <v>330</v>
      </c>
      <c r="B34" s="86">
        <v>4.2900000000000001E-2</v>
      </c>
      <c r="C34" s="86" t="s">
        <v>41</v>
      </c>
      <c r="D34" s="87"/>
      <c r="E34" s="86"/>
      <c r="F34" s="86"/>
      <c r="G34" s="88"/>
      <c r="H34" s="84"/>
      <c r="I34" s="88"/>
      <c r="J34" s="84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4.25" customHeight="1">
      <c r="A35" s="85">
        <v>710</v>
      </c>
      <c r="B35" s="86">
        <v>4.65E-2</v>
      </c>
      <c r="C35" s="86" t="s">
        <v>124</v>
      </c>
      <c r="D35" s="87"/>
      <c r="E35" s="86" t="s">
        <v>217</v>
      </c>
      <c r="F35" s="86" t="s">
        <v>227</v>
      </c>
      <c r="G35" s="88"/>
      <c r="H35" s="84">
        <f>B35*30000</f>
        <v>1395</v>
      </c>
      <c r="I35" s="88"/>
      <c r="J35" s="84">
        <v>1395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4.25" customHeight="1">
      <c r="A36" s="85">
        <v>712</v>
      </c>
      <c r="B36" s="86">
        <v>5.9900000000000002E-2</v>
      </c>
      <c r="C36" s="86" t="s">
        <v>124</v>
      </c>
      <c r="D36" s="87"/>
      <c r="E36" s="86"/>
      <c r="F36" s="86"/>
      <c r="G36" s="88"/>
      <c r="H36" s="84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4.25" customHeight="1">
      <c r="A37" s="85" t="s">
        <v>129</v>
      </c>
      <c r="B37" s="86"/>
      <c r="C37" s="86" t="s">
        <v>130</v>
      </c>
      <c r="D37" s="87"/>
      <c r="E37" s="86"/>
      <c r="F37" s="86"/>
      <c r="G37" s="88"/>
      <c r="H37" s="84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4.25" customHeight="1">
      <c r="A38" s="85"/>
      <c r="B38" s="86"/>
      <c r="C38" s="86"/>
      <c r="D38" s="87"/>
      <c r="E38" s="86"/>
      <c r="F38" s="86" t="s">
        <v>228</v>
      </c>
      <c r="G38" s="88">
        <f t="shared" ref="G38:K38" si="6">SUM(G3:G37)</f>
        <v>1555.2901000000002</v>
      </c>
      <c r="H38" s="84">
        <f t="shared" si="6"/>
        <v>6095.2385759999997</v>
      </c>
      <c r="I38" s="84">
        <f t="shared" si="6"/>
        <v>4368.9156999999996</v>
      </c>
      <c r="J38" s="84">
        <f t="shared" si="6"/>
        <v>11459.238576</v>
      </c>
      <c r="K38" s="84">
        <f t="shared" si="6"/>
        <v>5732.4853440000006</v>
      </c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4.25" customHeight="1">
      <c r="A39" s="85"/>
      <c r="B39" s="86"/>
      <c r="C39" s="86"/>
      <c r="D39" s="87"/>
      <c r="E39" s="86"/>
      <c r="F39" s="86"/>
      <c r="G39" s="86"/>
      <c r="H39" s="84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4.25" customHeight="1">
      <c r="A40" s="85"/>
      <c r="B40" s="86"/>
      <c r="C40" s="86"/>
      <c r="D40" s="87"/>
      <c r="E40" s="86"/>
      <c r="F40" s="86" t="s">
        <v>229</v>
      </c>
      <c r="G40" s="88">
        <f>G38+H38</f>
        <v>7650.5286759999999</v>
      </c>
      <c r="H40" s="84"/>
      <c r="I40" s="83" t="s">
        <v>230</v>
      </c>
      <c r="J40" s="84">
        <f>I38+J38+K38</f>
        <v>21560.639620000002</v>
      </c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4.25" customHeight="1">
      <c r="A41" s="85"/>
      <c r="B41" s="85" t="s">
        <v>231</v>
      </c>
      <c r="C41" s="86" t="s">
        <v>232</v>
      </c>
      <c r="D41" s="87" t="s">
        <v>233</v>
      </c>
      <c r="E41" s="86"/>
      <c r="F41" s="86"/>
      <c r="G41" s="86"/>
      <c r="H41" s="84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14.25" customHeight="1">
      <c r="A42" s="85">
        <v>2016</v>
      </c>
      <c r="B42" s="89">
        <v>11692</v>
      </c>
      <c r="C42" s="88">
        <v>41782</v>
      </c>
      <c r="D42" s="84">
        <v>44243.199999999997</v>
      </c>
      <c r="E42" s="86"/>
      <c r="F42" s="86"/>
      <c r="G42" s="86"/>
      <c r="H42" s="84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14.25" customHeight="1">
      <c r="A43" s="85">
        <v>2017</v>
      </c>
      <c r="B43" s="89">
        <v>12087</v>
      </c>
      <c r="C43" s="88">
        <v>26697</v>
      </c>
      <c r="D43" s="88">
        <v>26545</v>
      </c>
      <c r="E43" s="86"/>
      <c r="F43" s="86"/>
      <c r="G43" s="86"/>
      <c r="H43" s="84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4.25" customHeight="1">
      <c r="A44" s="85">
        <v>2018</v>
      </c>
      <c r="B44" s="89">
        <v>12299</v>
      </c>
      <c r="C44" s="88">
        <v>26697</v>
      </c>
      <c r="D44" s="88">
        <v>26545.919999999998</v>
      </c>
      <c r="E44" s="86"/>
      <c r="F44" s="86"/>
      <c r="G44" s="86"/>
      <c r="H44" s="84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4.25" customHeight="1">
      <c r="A45" s="85">
        <v>2019</v>
      </c>
      <c r="B45" s="89">
        <v>22818</v>
      </c>
      <c r="C45" s="88">
        <v>26697</v>
      </c>
      <c r="D45" s="88">
        <v>26545.919999999998</v>
      </c>
      <c r="E45" s="86"/>
      <c r="F45" s="86"/>
      <c r="G45" s="86"/>
      <c r="H45" s="84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4.25" customHeight="1">
      <c r="A46" s="85">
        <v>2020</v>
      </c>
      <c r="B46" s="89">
        <v>12732</v>
      </c>
      <c r="C46" s="88">
        <v>26697</v>
      </c>
      <c r="D46" s="88">
        <v>26545.919999999998</v>
      </c>
      <c r="E46" s="86"/>
      <c r="F46" s="86"/>
      <c r="G46" s="86"/>
      <c r="H46" s="8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4.25" customHeight="1">
      <c r="A47" s="85">
        <v>2021</v>
      </c>
      <c r="B47" s="89">
        <v>13622</v>
      </c>
      <c r="C47" s="88">
        <v>32060.880000000001</v>
      </c>
      <c r="D47" s="88">
        <v>24214.75</v>
      </c>
      <c r="E47" s="86"/>
      <c r="F47" s="86"/>
      <c r="G47" s="86"/>
      <c r="H47" s="8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4.25" customHeight="1">
      <c r="A48" s="85">
        <v>2022</v>
      </c>
      <c r="B48" s="89">
        <v>18235</v>
      </c>
      <c r="C48" s="88">
        <v>32060.880000000001</v>
      </c>
      <c r="D48" s="88">
        <v>24214.75</v>
      </c>
      <c r="E48" s="86"/>
      <c r="F48" s="86"/>
      <c r="G48" s="86"/>
      <c r="H48" s="84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14.25" customHeight="1">
      <c r="A49" s="85">
        <v>2023</v>
      </c>
      <c r="B49" s="89">
        <v>17500</v>
      </c>
      <c r="C49" s="88">
        <v>32060.880000000001</v>
      </c>
      <c r="D49" s="88">
        <v>24214.75</v>
      </c>
      <c r="E49" s="86"/>
      <c r="F49" s="86"/>
      <c r="G49" s="86"/>
      <c r="H49" s="84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4.25" customHeight="1">
      <c r="A50" s="85"/>
      <c r="B50" s="89"/>
      <c r="C50" s="86"/>
      <c r="D50" s="86"/>
      <c r="E50" s="86"/>
      <c r="F50" s="86"/>
      <c r="G50" s="86"/>
      <c r="H50" s="84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4.25" customHeight="1">
      <c r="A51" s="85"/>
      <c r="B51" s="89"/>
      <c r="C51" s="86"/>
      <c r="D51" s="86"/>
      <c r="E51" s="86"/>
      <c r="F51" s="86"/>
      <c r="G51" s="86"/>
      <c r="H51" s="84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4.25" customHeight="1">
      <c r="A52" s="85"/>
      <c r="B52" s="89"/>
      <c r="C52" s="86"/>
      <c r="D52" s="86"/>
      <c r="E52" s="86"/>
      <c r="F52" s="86"/>
      <c r="G52" s="86"/>
      <c r="H52" s="84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4.25" customHeight="1">
      <c r="A53" s="85"/>
      <c r="B53" s="89"/>
      <c r="C53" s="86"/>
      <c r="D53" s="86"/>
      <c r="E53" s="86"/>
      <c r="F53" s="86"/>
      <c r="G53" s="86"/>
      <c r="H53" s="84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4.25" customHeight="1">
      <c r="A54" s="85"/>
      <c r="B54" s="89"/>
      <c r="C54" s="86"/>
      <c r="D54" s="86"/>
      <c r="E54" s="86"/>
      <c r="F54" s="86"/>
      <c r="G54" s="86"/>
      <c r="H54" s="84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4.25" customHeight="1">
      <c r="A55" s="85"/>
      <c r="B55" s="89"/>
      <c r="C55" s="86"/>
      <c r="D55" s="86"/>
      <c r="E55" s="86"/>
      <c r="F55" s="86"/>
      <c r="G55" s="86"/>
      <c r="H55" s="84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14.25" customHeight="1">
      <c r="A56" s="85"/>
      <c r="B56" s="89"/>
      <c r="C56" s="86"/>
      <c r="D56" s="86"/>
      <c r="E56" s="86"/>
      <c r="F56" s="86"/>
      <c r="G56" s="86"/>
      <c r="H56" s="84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14.25" customHeight="1">
      <c r="A57" s="85"/>
      <c r="B57" s="89"/>
      <c r="C57" s="86"/>
      <c r="D57" s="86"/>
      <c r="E57" s="86"/>
      <c r="F57" s="86"/>
      <c r="G57" s="86"/>
      <c r="H57" s="84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14.25" customHeight="1">
      <c r="A58" s="85"/>
      <c r="B58" s="89"/>
      <c r="C58" s="86"/>
      <c r="D58" s="86"/>
      <c r="E58" s="86"/>
      <c r="F58" s="86"/>
      <c r="G58" s="86"/>
      <c r="H58" s="84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14.25" customHeight="1">
      <c r="A59" s="85"/>
      <c r="B59" s="89"/>
      <c r="C59" s="86"/>
      <c r="D59" s="86"/>
      <c r="E59" s="86"/>
      <c r="F59" s="86"/>
      <c r="G59" s="86"/>
      <c r="H59" s="84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4.25" customHeight="1">
      <c r="A60" s="85"/>
      <c r="B60" s="89"/>
      <c r="C60" s="86"/>
      <c r="D60" s="86"/>
      <c r="E60" s="86"/>
      <c r="F60" s="86"/>
      <c r="G60" s="86"/>
      <c r="H60" s="84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14.25" customHeight="1">
      <c r="A61" s="85"/>
      <c r="B61" s="89"/>
      <c r="C61" s="86"/>
      <c r="D61" s="86"/>
      <c r="E61" s="86"/>
      <c r="F61" s="86"/>
      <c r="G61" s="86"/>
      <c r="H61" s="84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4.25" customHeight="1">
      <c r="A62" s="85"/>
      <c r="B62" s="89"/>
      <c r="C62" s="86"/>
      <c r="D62" s="86"/>
      <c r="E62" s="86"/>
      <c r="F62" s="86"/>
      <c r="G62" s="86"/>
      <c r="H62" s="84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4.25" customHeight="1">
      <c r="A63" s="85"/>
      <c r="B63" s="89"/>
      <c r="C63" s="86"/>
      <c r="D63" s="86"/>
      <c r="E63" s="86"/>
      <c r="F63" s="86"/>
      <c r="G63" s="86"/>
      <c r="H63" s="84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14.25" customHeight="1">
      <c r="A64" s="85"/>
      <c r="B64" s="89"/>
      <c r="C64" s="86"/>
      <c r="D64" s="86"/>
      <c r="E64" s="86"/>
      <c r="F64" s="86"/>
      <c r="G64" s="86"/>
      <c r="H64" s="84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14.25" customHeight="1">
      <c r="A65" s="85"/>
      <c r="B65" s="89"/>
      <c r="C65" s="86"/>
      <c r="D65" s="86"/>
      <c r="E65" s="86"/>
      <c r="F65" s="86"/>
      <c r="G65" s="86"/>
      <c r="H65" s="84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14.25" customHeight="1">
      <c r="A66" s="85"/>
      <c r="B66" s="89"/>
      <c r="C66" s="86"/>
      <c r="D66" s="86"/>
      <c r="E66" s="86"/>
      <c r="F66" s="86"/>
      <c r="G66" s="86"/>
      <c r="H66" s="84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14.25" customHeight="1">
      <c r="A67" s="85"/>
      <c r="B67" s="89"/>
      <c r="C67" s="86"/>
      <c r="D67" s="86"/>
      <c r="E67" s="86"/>
      <c r="F67" s="86"/>
      <c r="G67" s="86"/>
      <c r="H67" s="84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14.25" customHeight="1">
      <c r="A68" s="85"/>
      <c r="B68" s="89"/>
      <c r="C68" s="86"/>
      <c r="D68" s="86"/>
      <c r="E68" s="86"/>
      <c r="F68" s="86"/>
      <c r="G68" s="86"/>
      <c r="H68" s="84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14.25" customHeight="1">
      <c r="A69" s="85"/>
      <c r="B69" s="86"/>
      <c r="C69" s="86"/>
      <c r="D69" s="86"/>
      <c r="E69" s="86"/>
      <c r="F69" s="86"/>
      <c r="G69" s="86"/>
      <c r="H69" s="84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14.25" customHeight="1">
      <c r="A70" s="85"/>
      <c r="B70" s="86"/>
      <c r="C70" s="86"/>
      <c r="D70" s="86"/>
      <c r="E70" s="86"/>
      <c r="F70" s="86"/>
      <c r="G70" s="86"/>
      <c r="H70" s="84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4.25" customHeight="1">
      <c r="A71" s="85"/>
      <c r="B71" s="86"/>
      <c r="C71" s="86"/>
      <c r="D71" s="86"/>
      <c r="E71" s="86"/>
      <c r="F71" s="86"/>
      <c r="G71" s="86"/>
      <c r="H71" s="84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14.25" customHeight="1">
      <c r="A72" s="85"/>
      <c r="B72" s="86"/>
      <c r="C72" s="86"/>
      <c r="D72" s="86"/>
      <c r="E72" s="86"/>
      <c r="F72" s="86"/>
      <c r="G72" s="86"/>
      <c r="H72" s="84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14.25" customHeight="1">
      <c r="A73" s="85"/>
      <c r="B73" s="86"/>
      <c r="C73" s="86"/>
      <c r="D73" s="86"/>
      <c r="E73" s="86"/>
      <c r="F73" s="86"/>
      <c r="G73" s="86"/>
      <c r="H73" s="84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14.25" customHeight="1">
      <c r="A74" s="85"/>
      <c r="B74" s="86"/>
      <c r="C74" s="86"/>
      <c r="D74" s="86"/>
      <c r="E74" s="86"/>
      <c r="F74" s="86"/>
      <c r="G74" s="86"/>
      <c r="H74" s="84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14.25" customHeight="1">
      <c r="A75" s="85"/>
      <c r="B75" s="86"/>
      <c r="C75" s="86"/>
      <c r="D75" s="86"/>
      <c r="E75" s="86"/>
      <c r="F75" s="86"/>
      <c r="G75" s="86"/>
      <c r="H75" s="84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4.25" customHeight="1">
      <c r="A76" s="85"/>
      <c r="B76" s="86"/>
      <c r="C76" s="86"/>
      <c r="D76" s="86"/>
      <c r="E76" s="86"/>
      <c r="F76" s="86"/>
      <c r="G76" s="86"/>
      <c r="H76" s="84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14.25" customHeight="1">
      <c r="A77" s="85"/>
      <c r="B77" s="86"/>
      <c r="C77" s="86"/>
      <c r="D77" s="86"/>
      <c r="E77" s="86"/>
      <c r="F77" s="86"/>
      <c r="G77" s="86"/>
      <c r="H77" s="84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14.25" customHeight="1">
      <c r="A78" s="85"/>
      <c r="B78" s="86"/>
      <c r="C78" s="86"/>
      <c r="D78" s="86"/>
      <c r="E78" s="86"/>
      <c r="F78" s="86"/>
      <c r="G78" s="86"/>
      <c r="H78" s="84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4.25" customHeight="1">
      <c r="A79" s="85"/>
      <c r="B79" s="86"/>
      <c r="C79" s="86"/>
      <c r="D79" s="86"/>
      <c r="E79" s="86"/>
      <c r="F79" s="86"/>
      <c r="G79" s="86"/>
      <c r="H79" s="84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14.25" customHeight="1">
      <c r="A80" s="85"/>
      <c r="B80" s="86"/>
      <c r="C80" s="86"/>
      <c r="D80" s="86"/>
      <c r="E80" s="86"/>
      <c r="F80" s="86"/>
      <c r="G80" s="86"/>
      <c r="H80" s="84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4.25" customHeight="1">
      <c r="A81" s="85"/>
      <c r="B81" s="86"/>
      <c r="C81" s="86"/>
      <c r="D81" s="86"/>
      <c r="E81" s="86"/>
      <c r="F81" s="86"/>
      <c r="G81" s="86"/>
      <c r="H81" s="84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14.25" customHeight="1">
      <c r="A82" s="85"/>
      <c r="B82" s="86"/>
      <c r="C82" s="86"/>
      <c r="D82" s="86"/>
      <c r="E82" s="86"/>
      <c r="F82" s="86"/>
      <c r="G82" s="86"/>
      <c r="H82" s="84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4.25" customHeight="1">
      <c r="A83" s="85"/>
      <c r="B83" s="86"/>
      <c r="C83" s="86"/>
      <c r="D83" s="86"/>
      <c r="E83" s="86"/>
      <c r="F83" s="86"/>
      <c r="G83" s="86"/>
      <c r="H83" s="84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4.25" customHeight="1">
      <c r="A84" s="85"/>
      <c r="B84" s="86"/>
      <c r="C84" s="86"/>
      <c r="D84" s="86"/>
      <c r="E84" s="86"/>
      <c r="F84" s="86"/>
      <c r="G84" s="86"/>
      <c r="H84" s="84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4.25" customHeight="1">
      <c r="A85" s="85"/>
      <c r="B85" s="86"/>
      <c r="C85" s="86"/>
      <c r="D85" s="86"/>
      <c r="E85" s="86"/>
      <c r="F85" s="86"/>
      <c r="G85" s="86"/>
      <c r="H85" s="84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4.25" customHeight="1">
      <c r="A86" s="85"/>
      <c r="B86" s="86"/>
      <c r="C86" s="86"/>
      <c r="D86" s="86"/>
      <c r="E86" s="86"/>
      <c r="F86" s="86"/>
      <c r="G86" s="86"/>
      <c r="H86" s="84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4.25" customHeight="1">
      <c r="A87" s="85"/>
      <c r="B87" s="86"/>
      <c r="C87" s="86"/>
      <c r="D87" s="86"/>
      <c r="E87" s="86"/>
      <c r="F87" s="86"/>
      <c r="G87" s="86"/>
      <c r="H87" s="84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4.25" customHeight="1">
      <c r="A88" s="85"/>
      <c r="B88" s="86"/>
      <c r="C88" s="86"/>
      <c r="D88" s="86"/>
      <c r="E88" s="86"/>
      <c r="F88" s="86"/>
      <c r="G88" s="86"/>
      <c r="H88" s="84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4.25" customHeight="1">
      <c r="A89" s="85"/>
      <c r="B89" s="86"/>
      <c r="C89" s="86"/>
      <c r="D89" s="86"/>
      <c r="E89" s="86"/>
      <c r="F89" s="86"/>
      <c r="G89" s="86"/>
      <c r="H89" s="84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4.25" customHeight="1">
      <c r="A90" s="85"/>
      <c r="B90" s="86"/>
      <c r="C90" s="86"/>
      <c r="D90" s="86"/>
      <c r="E90" s="86"/>
      <c r="F90" s="86"/>
      <c r="G90" s="86"/>
      <c r="H90" s="84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4.25" customHeight="1">
      <c r="A91" s="85"/>
      <c r="B91" s="86"/>
      <c r="C91" s="86"/>
      <c r="D91" s="86"/>
      <c r="E91" s="86"/>
      <c r="F91" s="86"/>
      <c r="G91" s="86"/>
      <c r="H91" s="84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4.25" customHeight="1">
      <c r="A92" s="85"/>
      <c r="B92" s="86"/>
      <c r="C92" s="86"/>
      <c r="D92" s="86"/>
      <c r="E92" s="86"/>
      <c r="F92" s="86"/>
      <c r="G92" s="86"/>
      <c r="H92" s="84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4.25" customHeight="1">
      <c r="A93" s="85"/>
      <c r="B93" s="86"/>
      <c r="C93" s="86"/>
      <c r="D93" s="86"/>
      <c r="E93" s="86"/>
      <c r="F93" s="86"/>
      <c r="G93" s="86"/>
      <c r="H93" s="84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4.25" customHeight="1">
      <c r="A94" s="85"/>
      <c r="B94" s="86"/>
      <c r="C94" s="86"/>
      <c r="D94" s="86"/>
      <c r="E94" s="86"/>
      <c r="F94" s="86"/>
      <c r="G94" s="86"/>
      <c r="H94" s="84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4.25" customHeight="1">
      <c r="A95" s="85"/>
      <c r="B95" s="86"/>
      <c r="C95" s="86"/>
      <c r="D95" s="86"/>
      <c r="E95" s="86"/>
      <c r="F95" s="86"/>
      <c r="G95" s="86"/>
      <c r="H95" s="84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4.25" customHeight="1">
      <c r="A96" s="85"/>
      <c r="B96" s="86"/>
      <c r="C96" s="86"/>
      <c r="D96" s="86"/>
      <c r="E96" s="86"/>
      <c r="F96" s="86"/>
      <c r="G96" s="86"/>
      <c r="H96" s="84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4.25" customHeight="1">
      <c r="A97" s="85"/>
      <c r="B97" s="86"/>
      <c r="C97" s="86"/>
      <c r="D97" s="86"/>
      <c r="E97" s="86"/>
      <c r="F97" s="86"/>
      <c r="G97" s="86"/>
      <c r="H97" s="84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4.25" customHeight="1">
      <c r="A98" s="85"/>
      <c r="B98" s="86"/>
      <c r="C98" s="86"/>
      <c r="D98" s="86"/>
      <c r="E98" s="86"/>
      <c r="F98" s="86"/>
      <c r="G98" s="86"/>
      <c r="H98" s="84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4.25" customHeight="1">
      <c r="A99" s="85"/>
      <c r="B99" s="86"/>
      <c r="C99" s="86"/>
      <c r="D99" s="86"/>
      <c r="E99" s="86"/>
      <c r="F99" s="86"/>
      <c r="G99" s="86"/>
      <c r="H99" s="84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4.25" customHeight="1">
      <c r="A100" s="85"/>
      <c r="B100" s="86"/>
      <c r="C100" s="86"/>
      <c r="D100" s="86"/>
      <c r="E100" s="86"/>
      <c r="F100" s="86"/>
      <c r="G100" s="86"/>
      <c r="H100" s="84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4.25" customHeight="1">
      <c r="A101" s="85"/>
      <c r="B101" s="86"/>
      <c r="C101" s="86"/>
      <c r="D101" s="86"/>
      <c r="E101" s="86"/>
      <c r="F101" s="86"/>
      <c r="G101" s="86"/>
      <c r="H101" s="84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4.25" customHeight="1">
      <c r="A102" s="85"/>
      <c r="B102" s="86"/>
      <c r="C102" s="86"/>
      <c r="D102" s="86"/>
      <c r="E102" s="86"/>
      <c r="F102" s="86"/>
      <c r="G102" s="86"/>
      <c r="H102" s="84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4.25" customHeight="1">
      <c r="A103" s="85"/>
      <c r="B103" s="86"/>
      <c r="C103" s="86"/>
      <c r="D103" s="86"/>
      <c r="E103" s="86"/>
      <c r="F103" s="86"/>
      <c r="G103" s="86"/>
      <c r="H103" s="84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4.25" customHeight="1">
      <c r="A104" s="85"/>
      <c r="B104" s="86"/>
      <c r="C104" s="86"/>
      <c r="D104" s="86"/>
      <c r="E104" s="86"/>
      <c r="F104" s="86"/>
      <c r="G104" s="86"/>
      <c r="H104" s="84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4.25" customHeight="1">
      <c r="A105" s="85"/>
      <c r="B105" s="86"/>
      <c r="C105" s="86"/>
      <c r="D105" s="86"/>
      <c r="E105" s="86"/>
      <c r="F105" s="86"/>
      <c r="G105" s="86"/>
      <c r="H105" s="84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4.25" customHeight="1">
      <c r="A106" s="85"/>
      <c r="B106" s="86"/>
      <c r="C106" s="86"/>
      <c r="D106" s="86"/>
      <c r="E106" s="86"/>
      <c r="F106" s="86"/>
      <c r="G106" s="86"/>
      <c r="H106" s="84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4.25" customHeight="1">
      <c r="A107" s="85"/>
      <c r="B107" s="86"/>
      <c r="C107" s="86"/>
      <c r="D107" s="86"/>
      <c r="E107" s="86"/>
      <c r="F107" s="86"/>
      <c r="G107" s="86"/>
      <c r="H107" s="84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14.25" customHeight="1">
      <c r="A108" s="85"/>
      <c r="B108" s="86"/>
      <c r="C108" s="86"/>
      <c r="D108" s="86"/>
      <c r="E108" s="86"/>
      <c r="F108" s="86"/>
      <c r="G108" s="86"/>
      <c r="H108" s="84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14.25" customHeight="1">
      <c r="A109" s="85"/>
      <c r="B109" s="86"/>
      <c r="C109" s="86"/>
      <c r="D109" s="86"/>
      <c r="E109" s="86"/>
      <c r="F109" s="86"/>
      <c r="G109" s="86"/>
      <c r="H109" s="84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4.25" customHeight="1">
      <c r="A110" s="85"/>
      <c r="B110" s="86"/>
      <c r="C110" s="86"/>
      <c r="D110" s="86"/>
      <c r="E110" s="86"/>
      <c r="F110" s="86"/>
      <c r="G110" s="86"/>
      <c r="H110" s="84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4.25" customHeight="1">
      <c r="A111" s="85"/>
      <c r="B111" s="86"/>
      <c r="C111" s="86"/>
      <c r="D111" s="86"/>
      <c r="E111" s="86"/>
      <c r="F111" s="86"/>
      <c r="G111" s="86"/>
      <c r="H111" s="84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4.25" customHeight="1">
      <c r="A112" s="85"/>
      <c r="B112" s="86"/>
      <c r="C112" s="86"/>
      <c r="D112" s="86"/>
      <c r="E112" s="86"/>
      <c r="F112" s="86"/>
      <c r="G112" s="86"/>
      <c r="H112" s="84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14.25" customHeight="1">
      <c r="A113" s="85"/>
      <c r="B113" s="86"/>
      <c r="C113" s="86"/>
      <c r="D113" s="86"/>
      <c r="E113" s="86"/>
      <c r="F113" s="86"/>
      <c r="G113" s="86"/>
      <c r="H113" s="84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4.25" customHeight="1">
      <c r="A114" s="85"/>
      <c r="B114" s="86"/>
      <c r="C114" s="86"/>
      <c r="D114" s="86"/>
      <c r="E114" s="86"/>
      <c r="F114" s="86"/>
      <c r="G114" s="86"/>
      <c r="H114" s="84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4.25" customHeight="1">
      <c r="A115" s="85"/>
      <c r="B115" s="86"/>
      <c r="C115" s="86"/>
      <c r="D115" s="86"/>
      <c r="E115" s="86"/>
      <c r="F115" s="86"/>
      <c r="G115" s="86"/>
      <c r="H115" s="84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14.25" customHeight="1">
      <c r="A116" s="85"/>
      <c r="B116" s="86"/>
      <c r="C116" s="86"/>
      <c r="D116" s="86"/>
      <c r="E116" s="86"/>
      <c r="F116" s="86"/>
      <c r="G116" s="86"/>
      <c r="H116" s="84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14.25" customHeight="1">
      <c r="A117" s="85"/>
      <c r="B117" s="86"/>
      <c r="C117" s="86"/>
      <c r="D117" s="86"/>
      <c r="E117" s="86"/>
      <c r="F117" s="86"/>
      <c r="G117" s="86"/>
      <c r="H117" s="84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4.25" customHeight="1">
      <c r="A118" s="85"/>
      <c r="B118" s="86"/>
      <c r="C118" s="86"/>
      <c r="D118" s="86"/>
      <c r="E118" s="86"/>
      <c r="F118" s="86"/>
      <c r="G118" s="86"/>
      <c r="H118" s="84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4.25" customHeight="1">
      <c r="A119" s="85"/>
      <c r="B119" s="86"/>
      <c r="C119" s="86"/>
      <c r="D119" s="86"/>
      <c r="E119" s="86"/>
      <c r="F119" s="86"/>
      <c r="G119" s="86"/>
      <c r="H119" s="84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4.25" customHeight="1">
      <c r="A120" s="85"/>
      <c r="B120" s="86"/>
      <c r="C120" s="86"/>
      <c r="D120" s="86"/>
      <c r="E120" s="86"/>
      <c r="F120" s="86"/>
      <c r="G120" s="86"/>
      <c r="H120" s="84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4.25" customHeight="1">
      <c r="A121" s="85"/>
      <c r="B121" s="86"/>
      <c r="C121" s="86"/>
      <c r="D121" s="86"/>
      <c r="E121" s="86"/>
      <c r="F121" s="86"/>
      <c r="G121" s="86"/>
      <c r="H121" s="84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4.25" customHeight="1">
      <c r="A122" s="85"/>
      <c r="B122" s="86"/>
      <c r="C122" s="86"/>
      <c r="D122" s="86"/>
      <c r="E122" s="86"/>
      <c r="F122" s="86"/>
      <c r="G122" s="86"/>
      <c r="H122" s="84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14.25" customHeight="1">
      <c r="A123" s="85"/>
      <c r="B123" s="86"/>
      <c r="C123" s="86"/>
      <c r="D123" s="86"/>
      <c r="E123" s="86"/>
      <c r="F123" s="86"/>
      <c r="G123" s="86"/>
      <c r="H123" s="84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4.25" customHeight="1">
      <c r="A124" s="85"/>
      <c r="B124" s="86"/>
      <c r="C124" s="86"/>
      <c r="D124" s="86"/>
      <c r="E124" s="86"/>
      <c r="F124" s="86"/>
      <c r="G124" s="86"/>
      <c r="H124" s="84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4.25" customHeight="1">
      <c r="A125" s="85"/>
      <c r="B125" s="86"/>
      <c r="C125" s="86"/>
      <c r="D125" s="86"/>
      <c r="E125" s="86"/>
      <c r="F125" s="86"/>
      <c r="G125" s="86"/>
      <c r="H125" s="84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14.25" customHeight="1">
      <c r="A126" s="85"/>
      <c r="B126" s="86"/>
      <c r="C126" s="86"/>
      <c r="D126" s="86"/>
      <c r="E126" s="86"/>
      <c r="F126" s="86"/>
      <c r="G126" s="86"/>
      <c r="H126" s="84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4.25" customHeight="1">
      <c r="A127" s="85"/>
      <c r="B127" s="86"/>
      <c r="C127" s="86"/>
      <c r="D127" s="86"/>
      <c r="E127" s="86"/>
      <c r="F127" s="86"/>
      <c r="G127" s="86"/>
      <c r="H127" s="84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4.25" customHeight="1">
      <c r="A128" s="85"/>
      <c r="B128" s="86"/>
      <c r="C128" s="86"/>
      <c r="D128" s="86"/>
      <c r="E128" s="86"/>
      <c r="F128" s="86"/>
      <c r="G128" s="86"/>
      <c r="H128" s="84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4.25" customHeight="1">
      <c r="A129" s="85"/>
      <c r="B129" s="86"/>
      <c r="C129" s="86"/>
      <c r="D129" s="86"/>
      <c r="E129" s="86"/>
      <c r="F129" s="86"/>
      <c r="G129" s="86"/>
      <c r="H129" s="84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4.25" customHeight="1">
      <c r="A130" s="85"/>
      <c r="B130" s="86"/>
      <c r="C130" s="86"/>
      <c r="D130" s="86"/>
      <c r="E130" s="86"/>
      <c r="F130" s="86"/>
      <c r="G130" s="86"/>
      <c r="H130" s="84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14.25" customHeight="1">
      <c r="A131" s="85"/>
      <c r="B131" s="86"/>
      <c r="C131" s="86"/>
      <c r="D131" s="86"/>
      <c r="E131" s="86"/>
      <c r="F131" s="86"/>
      <c r="G131" s="86"/>
      <c r="H131" s="84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4.25" customHeight="1">
      <c r="A132" s="85"/>
      <c r="B132" s="86"/>
      <c r="C132" s="86"/>
      <c r="D132" s="86"/>
      <c r="E132" s="86"/>
      <c r="F132" s="86"/>
      <c r="G132" s="86"/>
      <c r="H132" s="84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4.25" customHeight="1">
      <c r="A133" s="85"/>
      <c r="B133" s="86"/>
      <c r="C133" s="86"/>
      <c r="D133" s="86"/>
      <c r="E133" s="86"/>
      <c r="F133" s="86"/>
      <c r="G133" s="86"/>
      <c r="H133" s="84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4.25" customHeight="1">
      <c r="A134" s="85"/>
      <c r="B134" s="86"/>
      <c r="C134" s="86"/>
      <c r="D134" s="86"/>
      <c r="E134" s="86"/>
      <c r="F134" s="86"/>
      <c r="G134" s="86"/>
      <c r="H134" s="84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4.25" customHeight="1">
      <c r="A135" s="85"/>
      <c r="B135" s="86"/>
      <c r="C135" s="86"/>
      <c r="D135" s="86"/>
      <c r="E135" s="86"/>
      <c r="F135" s="86"/>
      <c r="G135" s="86"/>
      <c r="H135" s="84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4.25" customHeight="1">
      <c r="A136" s="85"/>
      <c r="B136" s="86"/>
      <c r="C136" s="86"/>
      <c r="D136" s="86"/>
      <c r="E136" s="86"/>
      <c r="F136" s="86"/>
      <c r="G136" s="86"/>
      <c r="H136" s="84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14.25" customHeight="1">
      <c r="A137" s="85"/>
      <c r="B137" s="86"/>
      <c r="C137" s="86"/>
      <c r="D137" s="86"/>
      <c r="E137" s="86"/>
      <c r="F137" s="86"/>
      <c r="G137" s="86"/>
      <c r="H137" s="84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4.25" customHeight="1">
      <c r="A138" s="85"/>
      <c r="B138" s="86"/>
      <c r="C138" s="86"/>
      <c r="D138" s="86"/>
      <c r="E138" s="86"/>
      <c r="F138" s="86"/>
      <c r="G138" s="86"/>
      <c r="H138" s="84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4.25" customHeight="1">
      <c r="A139" s="85"/>
      <c r="B139" s="86"/>
      <c r="C139" s="86"/>
      <c r="D139" s="86"/>
      <c r="E139" s="86"/>
      <c r="F139" s="86"/>
      <c r="G139" s="86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4.25" customHeight="1">
      <c r="A140" s="85"/>
      <c r="B140" s="86"/>
      <c r="C140" s="86"/>
      <c r="D140" s="86"/>
      <c r="E140" s="86"/>
      <c r="F140" s="86"/>
      <c r="G140" s="86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4.25" customHeight="1">
      <c r="A141" s="85"/>
      <c r="B141" s="86"/>
      <c r="C141" s="86"/>
      <c r="D141" s="86"/>
      <c r="E141" s="86"/>
      <c r="F141" s="86"/>
      <c r="G141" s="86"/>
      <c r="H141" s="84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4.25" customHeight="1">
      <c r="A142" s="85"/>
      <c r="B142" s="86"/>
      <c r="C142" s="86"/>
      <c r="D142" s="86"/>
      <c r="E142" s="86"/>
      <c r="F142" s="86"/>
      <c r="G142" s="86"/>
      <c r="H142" s="84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4.25" customHeight="1">
      <c r="A143" s="85"/>
      <c r="B143" s="86"/>
      <c r="C143" s="86"/>
      <c r="D143" s="86"/>
      <c r="E143" s="86"/>
      <c r="F143" s="86"/>
      <c r="G143" s="86"/>
      <c r="H143" s="84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4.25" customHeight="1">
      <c r="A144" s="85"/>
      <c r="B144" s="86"/>
      <c r="C144" s="86"/>
      <c r="D144" s="86"/>
      <c r="E144" s="86"/>
      <c r="F144" s="86"/>
      <c r="G144" s="86"/>
      <c r="H144" s="84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14.25" customHeight="1">
      <c r="A145" s="85"/>
      <c r="B145" s="86"/>
      <c r="C145" s="86"/>
      <c r="D145" s="86"/>
      <c r="E145" s="86"/>
      <c r="F145" s="86"/>
      <c r="G145" s="86"/>
      <c r="H145" s="84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4.25" customHeight="1">
      <c r="A146" s="85"/>
      <c r="B146" s="86"/>
      <c r="C146" s="86"/>
      <c r="D146" s="86"/>
      <c r="E146" s="86"/>
      <c r="F146" s="86"/>
      <c r="G146" s="86"/>
      <c r="H146" s="84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4.25" customHeight="1">
      <c r="A147" s="85"/>
      <c r="B147" s="86"/>
      <c r="C147" s="86"/>
      <c r="D147" s="86"/>
      <c r="E147" s="86"/>
      <c r="F147" s="86"/>
      <c r="G147" s="86"/>
      <c r="H147" s="84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4.25" customHeight="1">
      <c r="A148" s="85"/>
      <c r="B148" s="86"/>
      <c r="C148" s="86"/>
      <c r="D148" s="86"/>
      <c r="E148" s="86"/>
      <c r="F148" s="86"/>
      <c r="G148" s="86"/>
      <c r="H148" s="84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4.25" customHeight="1">
      <c r="A149" s="85"/>
      <c r="B149" s="86"/>
      <c r="C149" s="86"/>
      <c r="D149" s="86"/>
      <c r="E149" s="86"/>
      <c r="F149" s="86"/>
      <c r="G149" s="86"/>
      <c r="H149" s="84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4.25" customHeight="1">
      <c r="A150" s="85"/>
      <c r="B150" s="86"/>
      <c r="C150" s="86"/>
      <c r="D150" s="86"/>
      <c r="E150" s="86"/>
      <c r="F150" s="86"/>
      <c r="G150" s="86"/>
      <c r="H150" s="84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4.25" customHeight="1">
      <c r="A151" s="85"/>
      <c r="B151" s="86"/>
      <c r="C151" s="86"/>
      <c r="D151" s="86"/>
      <c r="E151" s="86"/>
      <c r="F151" s="86"/>
      <c r="G151" s="86"/>
      <c r="H151" s="84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4.25" customHeight="1">
      <c r="A152" s="85"/>
      <c r="B152" s="86"/>
      <c r="C152" s="86"/>
      <c r="D152" s="86"/>
      <c r="E152" s="86"/>
      <c r="F152" s="86"/>
      <c r="G152" s="86"/>
      <c r="H152" s="84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4.25" customHeight="1">
      <c r="A153" s="85"/>
      <c r="B153" s="86"/>
      <c r="C153" s="86"/>
      <c r="D153" s="86"/>
      <c r="E153" s="86"/>
      <c r="F153" s="86"/>
      <c r="G153" s="86"/>
      <c r="H153" s="84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4.25" customHeight="1">
      <c r="A154" s="85"/>
      <c r="B154" s="86"/>
      <c r="C154" s="86"/>
      <c r="D154" s="86"/>
      <c r="E154" s="86"/>
      <c r="F154" s="86"/>
      <c r="G154" s="86"/>
      <c r="H154" s="84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4.25" customHeight="1">
      <c r="A155" s="85"/>
      <c r="B155" s="86"/>
      <c r="C155" s="86"/>
      <c r="D155" s="86"/>
      <c r="E155" s="86"/>
      <c r="F155" s="86"/>
      <c r="G155" s="86"/>
      <c r="H155" s="84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4.25" customHeight="1">
      <c r="A156" s="85"/>
      <c r="B156" s="86"/>
      <c r="C156" s="86"/>
      <c r="D156" s="86"/>
      <c r="E156" s="86"/>
      <c r="F156" s="86"/>
      <c r="G156" s="86"/>
      <c r="H156" s="8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4.25" customHeight="1">
      <c r="A157" s="85"/>
      <c r="B157" s="86"/>
      <c r="C157" s="86"/>
      <c r="D157" s="86"/>
      <c r="E157" s="86"/>
      <c r="F157" s="86"/>
      <c r="G157" s="86"/>
      <c r="H157" s="84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4.25" customHeight="1">
      <c r="A158" s="85"/>
      <c r="B158" s="86"/>
      <c r="C158" s="86"/>
      <c r="D158" s="86"/>
      <c r="E158" s="86"/>
      <c r="F158" s="86"/>
      <c r="G158" s="86"/>
      <c r="H158" s="84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4.25" customHeight="1">
      <c r="A159" s="85"/>
      <c r="B159" s="86"/>
      <c r="C159" s="86"/>
      <c r="D159" s="86"/>
      <c r="E159" s="86"/>
      <c r="F159" s="86"/>
      <c r="G159" s="86"/>
      <c r="H159" s="84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4.25" customHeight="1">
      <c r="A160" s="85"/>
      <c r="B160" s="86"/>
      <c r="C160" s="86"/>
      <c r="D160" s="86"/>
      <c r="E160" s="86"/>
      <c r="F160" s="86"/>
      <c r="G160" s="86"/>
      <c r="H160" s="84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4.25" customHeight="1">
      <c r="A161" s="85"/>
      <c r="B161" s="86"/>
      <c r="C161" s="86"/>
      <c r="D161" s="86"/>
      <c r="E161" s="86"/>
      <c r="F161" s="86"/>
      <c r="G161" s="86"/>
      <c r="H161" s="84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4.25" customHeight="1">
      <c r="A162" s="85"/>
      <c r="B162" s="86"/>
      <c r="C162" s="86"/>
      <c r="D162" s="86"/>
      <c r="E162" s="86"/>
      <c r="F162" s="86"/>
      <c r="G162" s="86"/>
      <c r="H162" s="84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4.25" customHeight="1">
      <c r="A163" s="85"/>
      <c r="B163" s="86"/>
      <c r="C163" s="86"/>
      <c r="D163" s="86"/>
      <c r="E163" s="86"/>
      <c r="F163" s="86"/>
      <c r="G163" s="86"/>
      <c r="H163" s="84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4.25" customHeight="1">
      <c r="A164" s="85"/>
      <c r="B164" s="86"/>
      <c r="C164" s="86"/>
      <c r="D164" s="86"/>
      <c r="E164" s="86"/>
      <c r="F164" s="86"/>
      <c r="G164" s="86"/>
      <c r="H164" s="84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4.25" customHeight="1">
      <c r="A165" s="85"/>
      <c r="B165" s="86"/>
      <c r="C165" s="86"/>
      <c r="D165" s="86"/>
      <c r="E165" s="86"/>
      <c r="F165" s="86"/>
      <c r="G165" s="86"/>
      <c r="H165" s="84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4.25" customHeight="1">
      <c r="A166" s="85"/>
      <c r="B166" s="86"/>
      <c r="C166" s="86"/>
      <c r="D166" s="86"/>
      <c r="E166" s="86"/>
      <c r="F166" s="86"/>
      <c r="G166" s="86"/>
      <c r="H166" s="84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4.25" customHeight="1">
      <c r="A167" s="85"/>
      <c r="B167" s="86"/>
      <c r="C167" s="86"/>
      <c r="D167" s="86"/>
      <c r="E167" s="86"/>
      <c r="F167" s="86"/>
      <c r="G167" s="86"/>
      <c r="H167" s="84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4.25" customHeight="1">
      <c r="A168" s="85"/>
      <c r="B168" s="86"/>
      <c r="C168" s="86"/>
      <c r="D168" s="86"/>
      <c r="E168" s="86"/>
      <c r="F168" s="86"/>
      <c r="G168" s="86"/>
      <c r="H168" s="84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4.25" customHeight="1">
      <c r="A169" s="85"/>
      <c r="B169" s="86"/>
      <c r="C169" s="86"/>
      <c r="D169" s="86"/>
      <c r="E169" s="86"/>
      <c r="F169" s="86"/>
      <c r="G169" s="86"/>
      <c r="H169" s="84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4.25" customHeight="1">
      <c r="A170" s="85"/>
      <c r="B170" s="86"/>
      <c r="C170" s="86"/>
      <c r="D170" s="86"/>
      <c r="E170" s="86"/>
      <c r="F170" s="86"/>
      <c r="G170" s="86"/>
      <c r="H170" s="84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14.25" customHeight="1">
      <c r="A171" s="85"/>
      <c r="B171" s="86"/>
      <c r="C171" s="86"/>
      <c r="D171" s="86"/>
      <c r="E171" s="86"/>
      <c r="F171" s="86"/>
      <c r="G171" s="86"/>
      <c r="H171" s="84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14.25" customHeight="1">
      <c r="A172" s="85"/>
      <c r="B172" s="86"/>
      <c r="C172" s="86"/>
      <c r="D172" s="86"/>
      <c r="E172" s="86"/>
      <c r="F172" s="86"/>
      <c r="G172" s="86"/>
      <c r="H172" s="84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4.25" customHeight="1">
      <c r="A173" s="85"/>
      <c r="B173" s="86"/>
      <c r="C173" s="86"/>
      <c r="D173" s="86"/>
      <c r="E173" s="86"/>
      <c r="F173" s="86"/>
      <c r="G173" s="86"/>
      <c r="H173" s="84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4.25" customHeight="1">
      <c r="A174" s="85"/>
      <c r="B174" s="86"/>
      <c r="C174" s="86"/>
      <c r="D174" s="86"/>
      <c r="E174" s="86"/>
      <c r="F174" s="86"/>
      <c r="G174" s="86"/>
      <c r="H174" s="84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14.25" customHeight="1">
      <c r="A175" s="85"/>
      <c r="B175" s="86"/>
      <c r="C175" s="86"/>
      <c r="D175" s="86"/>
      <c r="E175" s="86"/>
      <c r="F175" s="86"/>
      <c r="G175" s="86"/>
      <c r="H175" s="84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14.25" customHeight="1">
      <c r="A176" s="85"/>
      <c r="B176" s="86"/>
      <c r="C176" s="86"/>
      <c r="D176" s="86"/>
      <c r="E176" s="86"/>
      <c r="F176" s="86"/>
      <c r="G176" s="86"/>
      <c r="H176" s="84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4.25" customHeight="1">
      <c r="A177" s="85"/>
      <c r="B177" s="86"/>
      <c r="C177" s="86"/>
      <c r="D177" s="86"/>
      <c r="E177" s="86"/>
      <c r="F177" s="86"/>
      <c r="G177" s="86"/>
      <c r="H177" s="84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14.25" customHeight="1">
      <c r="A178" s="85"/>
      <c r="B178" s="86"/>
      <c r="C178" s="86"/>
      <c r="D178" s="86"/>
      <c r="E178" s="86"/>
      <c r="F178" s="86"/>
      <c r="G178" s="86"/>
      <c r="H178" s="84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14.25" customHeight="1">
      <c r="A179" s="85"/>
      <c r="B179" s="86"/>
      <c r="C179" s="86"/>
      <c r="D179" s="86"/>
      <c r="E179" s="86"/>
      <c r="F179" s="86"/>
      <c r="G179" s="86"/>
      <c r="H179" s="84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4.25" customHeight="1">
      <c r="A180" s="85"/>
      <c r="B180" s="86"/>
      <c r="C180" s="86"/>
      <c r="D180" s="86"/>
      <c r="E180" s="86"/>
      <c r="F180" s="86"/>
      <c r="G180" s="86"/>
      <c r="H180" s="84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4.25" customHeight="1">
      <c r="A181" s="85"/>
      <c r="B181" s="86"/>
      <c r="C181" s="86"/>
      <c r="D181" s="86"/>
      <c r="E181" s="86"/>
      <c r="F181" s="86"/>
      <c r="G181" s="86"/>
      <c r="H181" s="84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14.25" customHeight="1">
      <c r="A182" s="85"/>
      <c r="B182" s="86"/>
      <c r="C182" s="86"/>
      <c r="D182" s="86"/>
      <c r="E182" s="86"/>
      <c r="F182" s="86"/>
      <c r="G182" s="86"/>
      <c r="H182" s="84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14.25" customHeight="1">
      <c r="A183" s="85"/>
      <c r="B183" s="86"/>
      <c r="C183" s="86"/>
      <c r="D183" s="86"/>
      <c r="E183" s="86"/>
      <c r="F183" s="86"/>
      <c r="G183" s="86"/>
      <c r="H183" s="84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4.25" customHeight="1">
      <c r="A184" s="85"/>
      <c r="B184" s="86"/>
      <c r="C184" s="86"/>
      <c r="D184" s="86"/>
      <c r="E184" s="86"/>
      <c r="F184" s="86"/>
      <c r="G184" s="86"/>
      <c r="H184" s="84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4.25" customHeight="1">
      <c r="A185" s="85"/>
      <c r="B185" s="86"/>
      <c r="C185" s="86"/>
      <c r="D185" s="86"/>
      <c r="E185" s="86"/>
      <c r="F185" s="86"/>
      <c r="G185" s="86"/>
      <c r="H185" s="84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4.25" customHeight="1">
      <c r="A186" s="85"/>
      <c r="B186" s="86"/>
      <c r="C186" s="86"/>
      <c r="D186" s="86"/>
      <c r="E186" s="86"/>
      <c r="F186" s="86"/>
      <c r="G186" s="86"/>
      <c r="H186" s="84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14.25" customHeight="1">
      <c r="A187" s="85"/>
      <c r="B187" s="86"/>
      <c r="C187" s="86"/>
      <c r="D187" s="86"/>
      <c r="E187" s="86"/>
      <c r="F187" s="86"/>
      <c r="G187" s="86"/>
      <c r="H187" s="84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4.25" customHeight="1">
      <c r="A188" s="85"/>
      <c r="B188" s="86"/>
      <c r="C188" s="86"/>
      <c r="D188" s="86"/>
      <c r="E188" s="86"/>
      <c r="F188" s="86"/>
      <c r="G188" s="86"/>
      <c r="H188" s="84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14.25" customHeight="1">
      <c r="A189" s="85"/>
      <c r="B189" s="86"/>
      <c r="C189" s="86"/>
      <c r="D189" s="86"/>
      <c r="E189" s="86"/>
      <c r="F189" s="86"/>
      <c r="G189" s="86"/>
      <c r="H189" s="84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4.25" customHeight="1">
      <c r="A190" s="85"/>
      <c r="B190" s="86"/>
      <c r="C190" s="86"/>
      <c r="D190" s="86"/>
      <c r="E190" s="86"/>
      <c r="F190" s="86"/>
      <c r="G190" s="86"/>
      <c r="H190" s="84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14.25" customHeight="1">
      <c r="A191" s="85"/>
      <c r="B191" s="86"/>
      <c r="C191" s="86"/>
      <c r="D191" s="86"/>
      <c r="E191" s="86"/>
      <c r="F191" s="86"/>
      <c r="G191" s="86"/>
      <c r="H191" s="84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4.25" customHeight="1">
      <c r="A192" s="85"/>
      <c r="B192" s="86"/>
      <c r="C192" s="86"/>
      <c r="D192" s="86"/>
      <c r="E192" s="86"/>
      <c r="F192" s="86"/>
      <c r="G192" s="86"/>
      <c r="H192" s="84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4.25" customHeight="1">
      <c r="A193" s="85"/>
      <c r="B193" s="86"/>
      <c r="C193" s="86"/>
      <c r="D193" s="86"/>
      <c r="E193" s="86"/>
      <c r="F193" s="86"/>
      <c r="G193" s="86"/>
      <c r="H193" s="84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4.25" customHeight="1">
      <c r="A194" s="85"/>
      <c r="B194" s="86"/>
      <c r="C194" s="86"/>
      <c r="D194" s="86"/>
      <c r="E194" s="86"/>
      <c r="F194" s="86"/>
      <c r="G194" s="86"/>
      <c r="H194" s="84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14.25" customHeight="1">
      <c r="A195" s="85"/>
      <c r="B195" s="86"/>
      <c r="C195" s="86"/>
      <c r="D195" s="86"/>
      <c r="E195" s="86"/>
      <c r="F195" s="86"/>
      <c r="G195" s="86"/>
      <c r="H195" s="84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4.25" customHeight="1">
      <c r="A196" s="85"/>
      <c r="B196" s="86"/>
      <c r="C196" s="86"/>
      <c r="D196" s="86"/>
      <c r="E196" s="86"/>
      <c r="F196" s="86"/>
      <c r="G196" s="86"/>
      <c r="H196" s="84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14.25" customHeight="1">
      <c r="A197" s="85"/>
      <c r="B197" s="86"/>
      <c r="C197" s="86"/>
      <c r="D197" s="86"/>
      <c r="E197" s="86"/>
      <c r="F197" s="86"/>
      <c r="G197" s="86"/>
      <c r="H197" s="84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4.25" customHeight="1">
      <c r="A198" s="85"/>
      <c r="B198" s="86"/>
      <c r="C198" s="86"/>
      <c r="D198" s="86"/>
      <c r="E198" s="86"/>
      <c r="F198" s="86"/>
      <c r="G198" s="86"/>
      <c r="H198" s="84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14.25" customHeight="1">
      <c r="A199" s="85"/>
      <c r="B199" s="86"/>
      <c r="C199" s="86"/>
      <c r="D199" s="86"/>
      <c r="E199" s="86"/>
      <c r="F199" s="86"/>
      <c r="G199" s="86"/>
      <c r="H199" s="84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4.25" customHeight="1">
      <c r="A200" s="85"/>
      <c r="B200" s="86"/>
      <c r="C200" s="86"/>
      <c r="D200" s="86"/>
      <c r="E200" s="86"/>
      <c r="F200" s="86"/>
      <c r="G200" s="86"/>
      <c r="H200" s="84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14.25" customHeight="1">
      <c r="A201" s="85"/>
      <c r="B201" s="86"/>
      <c r="C201" s="86"/>
      <c r="D201" s="86"/>
      <c r="E201" s="86"/>
      <c r="F201" s="86"/>
      <c r="G201" s="86"/>
      <c r="H201" s="84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4.25" customHeight="1">
      <c r="A202" s="85"/>
      <c r="B202" s="86"/>
      <c r="C202" s="86"/>
      <c r="D202" s="86"/>
      <c r="E202" s="86"/>
      <c r="F202" s="86"/>
      <c r="G202" s="86"/>
      <c r="H202" s="84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14.25" customHeight="1">
      <c r="A203" s="85"/>
      <c r="B203" s="86"/>
      <c r="C203" s="86"/>
      <c r="D203" s="86"/>
      <c r="E203" s="86"/>
      <c r="F203" s="86"/>
      <c r="G203" s="86"/>
      <c r="H203" s="84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14.25" customHeight="1">
      <c r="A204" s="85"/>
      <c r="B204" s="86"/>
      <c r="C204" s="86"/>
      <c r="D204" s="86"/>
      <c r="E204" s="86"/>
      <c r="F204" s="86"/>
      <c r="G204" s="86"/>
      <c r="H204" s="84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14.25" customHeight="1">
      <c r="A205" s="85"/>
      <c r="B205" s="86"/>
      <c r="C205" s="86"/>
      <c r="D205" s="86"/>
      <c r="E205" s="86"/>
      <c r="F205" s="86"/>
      <c r="G205" s="86"/>
      <c r="H205" s="84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14.25" customHeight="1">
      <c r="A206" s="85"/>
      <c r="B206" s="86"/>
      <c r="C206" s="86"/>
      <c r="D206" s="86"/>
      <c r="E206" s="86"/>
      <c r="F206" s="86"/>
      <c r="G206" s="86"/>
      <c r="H206" s="84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14.25" customHeight="1">
      <c r="A207" s="85"/>
      <c r="B207" s="86"/>
      <c r="C207" s="86"/>
      <c r="D207" s="86"/>
      <c r="E207" s="86"/>
      <c r="F207" s="86"/>
      <c r="G207" s="86"/>
      <c r="H207" s="84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14.25" customHeight="1">
      <c r="A208" s="85"/>
      <c r="B208" s="86"/>
      <c r="C208" s="86"/>
      <c r="D208" s="86"/>
      <c r="E208" s="86"/>
      <c r="F208" s="86"/>
      <c r="G208" s="86"/>
      <c r="H208" s="84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14.25" customHeight="1">
      <c r="A209" s="85"/>
      <c r="B209" s="86"/>
      <c r="C209" s="86"/>
      <c r="D209" s="86"/>
      <c r="E209" s="86"/>
      <c r="F209" s="86"/>
      <c r="G209" s="86"/>
      <c r="H209" s="84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14.25" customHeight="1">
      <c r="A210" s="85"/>
      <c r="B210" s="86"/>
      <c r="C210" s="86"/>
      <c r="D210" s="86"/>
      <c r="E210" s="86"/>
      <c r="F210" s="86"/>
      <c r="G210" s="86"/>
      <c r="H210" s="84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14.25" customHeight="1">
      <c r="A211" s="85"/>
      <c r="B211" s="86"/>
      <c r="C211" s="86"/>
      <c r="D211" s="86"/>
      <c r="E211" s="86"/>
      <c r="F211" s="86"/>
      <c r="G211" s="86"/>
      <c r="H211" s="84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14.25" customHeight="1">
      <c r="A212" s="85"/>
      <c r="B212" s="86"/>
      <c r="C212" s="86"/>
      <c r="D212" s="86"/>
      <c r="E212" s="86"/>
      <c r="F212" s="86"/>
      <c r="G212" s="86"/>
      <c r="H212" s="84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14.25" customHeight="1">
      <c r="A213" s="85"/>
      <c r="B213" s="86"/>
      <c r="C213" s="86"/>
      <c r="D213" s="86"/>
      <c r="E213" s="86"/>
      <c r="F213" s="86"/>
      <c r="G213" s="86"/>
      <c r="H213" s="84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14.25" customHeight="1">
      <c r="A214" s="85"/>
      <c r="B214" s="86"/>
      <c r="C214" s="86"/>
      <c r="D214" s="86"/>
      <c r="E214" s="86"/>
      <c r="F214" s="86"/>
      <c r="G214" s="86"/>
      <c r="H214" s="84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14.25" customHeight="1">
      <c r="A215" s="85"/>
      <c r="B215" s="86"/>
      <c r="C215" s="86"/>
      <c r="D215" s="86"/>
      <c r="E215" s="86"/>
      <c r="F215" s="86"/>
      <c r="G215" s="86"/>
      <c r="H215" s="84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14.25" customHeight="1">
      <c r="A216" s="85"/>
      <c r="B216" s="86"/>
      <c r="C216" s="86"/>
      <c r="D216" s="86"/>
      <c r="E216" s="86"/>
      <c r="F216" s="86"/>
      <c r="G216" s="86"/>
      <c r="H216" s="84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14.25" customHeight="1">
      <c r="A217" s="85"/>
      <c r="B217" s="86"/>
      <c r="C217" s="86"/>
      <c r="D217" s="86"/>
      <c r="E217" s="86"/>
      <c r="F217" s="86"/>
      <c r="G217" s="86"/>
      <c r="H217" s="84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14.25" customHeight="1">
      <c r="A218" s="85"/>
      <c r="B218" s="86"/>
      <c r="C218" s="86"/>
      <c r="D218" s="86"/>
      <c r="E218" s="86"/>
      <c r="F218" s="86"/>
      <c r="G218" s="86"/>
      <c r="H218" s="84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14.25" customHeight="1">
      <c r="A219" s="85"/>
      <c r="B219" s="86"/>
      <c r="C219" s="86"/>
      <c r="D219" s="86"/>
      <c r="E219" s="86"/>
      <c r="F219" s="86"/>
      <c r="G219" s="86"/>
      <c r="H219" s="84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14.25" customHeight="1">
      <c r="A220" s="85"/>
      <c r="B220" s="86"/>
      <c r="C220" s="86"/>
      <c r="D220" s="86"/>
      <c r="E220" s="86"/>
      <c r="F220" s="86"/>
      <c r="G220" s="86"/>
      <c r="H220" s="84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14.25" customHeight="1">
      <c r="A221" s="85"/>
      <c r="B221" s="86"/>
      <c r="C221" s="86"/>
      <c r="D221" s="86"/>
      <c r="E221" s="86"/>
      <c r="F221" s="86"/>
      <c r="G221" s="86"/>
      <c r="H221" s="84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14.25" customHeight="1">
      <c r="A222" s="85"/>
      <c r="B222" s="86"/>
      <c r="C222" s="86"/>
      <c r="D222" s="86"/>
      <c r="E222" s="86"/>
      <c r="F222" s="86"/>
      <c r="G222" s="86"/>
      <c r="H222" s="84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14.25" customHeight="1">
      <c r="A223" s="85"/>
      <c r="B223" s="86"/>
      <c r="C223" s="86"/>
      <c r="D223" s="86"/>
      <c r="E223" s="86"/>
      <c r="F223" s="86"/>
      <c r="G223" s="86"/>
      <c r="H223" s="84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14.25" customHeight="1">
      <c r="A224" s="85"/>
      <c r="B224" s="86"/>
      <c r="C224" s="86"/>
      <c r="D224" s="86"/>
      <c r="E224" s="86"/>
      <c r="F224" s="86"/>
      <c r="G224" s="86"/>
      <c r="H224" s="84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14.25" customHeight="1">
      <c r="A225" s="85"/>
      <c r="B225" s="86"/>
      <c r="C225" s="86"/>
      <c r="D225" s="86"/>
      <c r="E225" s="86"/>
      <c r="F225" s="86"/>
      <c r="G225" s="86"/>
      <c r="H225" s="84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14.25" customHeight="1">
      <c r="A226" s="85"/>
      <c r="B226" s="86"/>
      <c r="C226" s="86"/>
      <c r="D226" s="86"/>
      <c r="E226" s="86"/>
      <c r="F226" s="86"/>
      <c r="G226" s="86"/>
      <c r="H226" s="84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14.25" customHeight="1">
      <c r="A227" s="85"/>
      <c r="B227" s="86"/>
      <c r="C227" s="86"/>
      <c r="D227" s="86"/>
      <c r="E227" s="86"/>
      <c r="F227" s="86"/>
      <c r="G227" s="86"/>
      <c r="H227" s="84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14.25" customHeight="1">
      <c r="A228" s="85"/>
      <c r="B228" s="86"/>
      <c r="C228" s="86"/>
      <c r="D228" s="86"/>
      <c r="E228" s="86"/>
      <c r="F228" s="86"/>
      <c r="G228" s="86"/>
      <c r="H228" s="84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4.25" customHeight="1">
      <c r="A229" s="85"/>
      <c r="B229" s="86"/>
      <c r="C229" s="86"/>
      <c r="D229" s="86"/>
      <c r="E229" s="86"/>
      <c r="F229" s="86"/>
      <c r="G229" s="86"/>
      <c r="H229" s="84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14.25" customHeight="1">
      <c r="A230" s="85"/>
      <c r="B230" s="86"/>
      <c r="C230" s="86"/>
      <c r="D230" s="86"/>
      <c r="E230" s="86"/>
      <c r="F230" s="86"/>
      <c r="G230" s="86"/>
      <c r="H230" s="84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14.25" customHeight="1">
      <c r="A231" s="85"/>
      <c r="B231" s="86"/>
      <c r="C231" s="86"/>
      <c r="D231" s="86"/>
      <c r="E231" s="86"/>
      <c r="F231" s="86"/>
      <c r="G231" s="86"/>
      <c r="H231" s="84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14.25" customHeight="1">
      <c r="A232" s="85"/>
      <c r="B232" s="86"/>
      <c r="C232" s="86"/>
      <c r="D232" s="86"/>
      <c r="E232" s="86"/>
      <c r="F232" s="86"/>
      <c r="G232" s="86"/>
      <c r="H232" s="84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14.25" customHeight="1">
      <c r="A233" s="85"/>
      <c r="B233" s="86"/>
      <c r="C233" s="86"/>
      <c r="D233" s="86"/>
      <c r="E233" s="86"/>
      <c r="F233" s="86"/>
      <c r="G233" s="86"/>
      <c r="H233" s="84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14.25" customHeight="1">
      <c r="A234" s="85"/>
      <c r="B234" s="86"/>
      <c r="C234" s="86"/>
      <c r="D234" s="86"/>
      <c r="E234" s="86"/>
      <c r="F234" s="86"/>
      <c r="G234" s="86"/>
      <c r="H234" s="84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14.25" customHeight="1">
      <c r="A235" s="85"/>
      <c r="B235" s="86"/>
      <c r="C235" s="86"/>
      <c r="D235" s="86"/>
      <c r="E235" s="86"/>
      <c r="F235" s="86"/>
      <c r="G235" s="86"/>
      <c r="H235" s="84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14.25" customHeight="1">
      <c r="A236" s="85"/>
      <c r="B236" s="86"/>
      <c r="C236" s="86"/>
      <c r="D236" s="86"/>
      <c r="E236" s="86"/>
      <c r="F236" s="86"/>
      <c r="G236" s="86"/>
      <c r="H236" s="84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14.25" customHeight="1">
      <c r="A237" s="85"/>
      <c r="B237" s="86"/>
      <c r="C237" s="86"/>
      <c r="D237" s="86"/>
      <c r="E237" s="86"/>
      <c r="F237" s="86"/>
      <c r="G237" s="86"/>
      <c r="H237" s="84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14.25" customHeight="1">
      <c r="A238" s="85"/>
      <c r="B238" s="86"/>
      <c r="C238" s="86"/>
      <c r="D238" s="86"/>
      <c r="E238" s="86"/>
      <c r="F238" s="86"/>
      <c r="G238" s="86"/>
      <c r="H238" s="84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14.25" customHeight="1">
      <c r="A239" s="85"/>
      <c r="B239" s="86"/>
      <c r="C239" s="86"/>
      <c r="D239" s="86"/>
      <c r="E239" s="86"/>
      <c r="F239" s="86"/>
      <c r="G239" s="86"/>
      <c r="H239" s="84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14.25" customHeight="1">
      <c r="A240" s="85"/>
      <c r="B240" s="86"/>
      <c r="C240" s="86"/>
      <c r="D240" s="86"/>
      <c r="E240" s="86"/>
      <c r="F240" s="86"/>
      <c r="G240" s="86"/>
      <c r="H240" s="84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14.25" customHeight="1">
      <c r="A241" s="85"/>
      <c r="B241" s="86"/>
      <c r="C241" s="86"/>
      <c r="D241" s="86"/>
      <c r="E241" s="86"/>
      <c r="F241" s="86"/>
      <c r="G241" s="86"/>
      <c r="H241" s="84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14.25" customHeight="1">
      <c r="A242" s="85"/>
      <c r="B242" s="86"/>
      <c r="C242" s="86"/>
      <c r="D242" s="86"/>
      <c r="E242" s="86"/>
      <c r="F242" s="86"/>
      <c r="G242" s="86"/>
      <c r="H242" s="84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14.25" customHeight="1">
      <c r="A243" s="85"/>
      <c r="B243" s="86"/>
      <c r="C243" s="86"/>
      <c r="D243" s="86"/>
      <c r="E243" s="86"/>
      <c r="F243" s="86"/>
      <c r="G243" s="86"/>
      <c r="H243" s="84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14.25" customHeight="1">
      <c r="A244" s="85"/>
      <c r="B244" s="86"/>
      <c r="C244" s="86"/>
      <c r="D244" s="86"/>
      <c r="E244" s="86"/>
      <c r="F244" s="86"/>
      <c r="G244" s="86"/>
      <c r="H244" s="84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14.25" customHeight="1">
      <c r="A245" s="85"/>
      <c r="B245" s="86"/>
      <c r="C245" s="86"/>
      <c r="D245" s="86"/>
      <c r="E245" s="86"/>
      <c r="F245" s="86"/>
      <c r="G245" s="86"/>
      <c r="H245" s="84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14.25" customHeight="1">
      <c r="A246" s="85"/>
      <c r="B246" s="86"/>
      <c r="C246" s="86"/>
      <c r="D246" s="86"/>
      <c r="E246" s="86"/>
      <c r="F246" s="86"/>
      <c r="G246" s="86"/>
      <c r="H246" s="84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14.25" customHeight="1">
      <c r="A247" s="85"/>
      <c r="B247" s="86"/>
      <c r="C247" s="86"/>
      <c r="D247" s="86"/>
      <c r="E247" s="86"/>
      <c r="F247" s="86"/>
      <c r="G247" s="86"/>
      <c r="H247" s="84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14.25" customHeight="1">
      <c r="A248" s="85"/>
      <c r="B248" s="86"/>
      <c r="C248" s="86"/>
      <c r="D248" s="86"/>
      <c r="E248" s="86"/>
      <c r="F248" s="86"/>
      <c r="G248" s="86"/>
      <c r="H248" s="84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14.25" customHeight="1">
      <c r="A249" s="85"/>
      <c r="B249" s="86"/>
      <c r="C249" s="86"/>
      <c r="D249" s="86"/>
      <c r="E249" s="86"/>
      <c r="F249" s="86"/>
      <c r="G249" s="86"/>
      <c r="H249" s="84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14.25" customHeight="1">
      <c r="A250" s="90"/>
      <c r="B250" s="83"/>
      <c r="C250" s="83"/>
      <c r="D250" s="83"/>
      <c r="E250" s="83"/>
      <c r="F250" s="83"/>
      <c r="G250" s="83"/>
      <c r="H250" s="84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14.25" customHeight="1">
      <c r="A251" s="90"/>
      <c r="B251" s="83"/>
      <c r="C251" s="83"/>
      <c r="D251" s="83"/>
      <c r="E251" s="83"/>
      <c r="F251" s="83"/>
      <c r="G251" s="83"/>
      <c r="H251" s="84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14.25" customHeight="1">
      <c r="A252" s="90"/>
      <c r="B252" s="83"/>
      <c r="C252" s="83"/>
      <c r="D252" s="83"/>
      <c r="E252" s="83"/>
      <c r="F252" s="83"/>
      <c r="G252" s="83"/>
      <c r="H252" s="84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14.25" customHeight="1">
      <c r="A253" s="90"/>
      <c r="B253" s="83"/>
      <c r="C253" s="83"/>
      <c r="D253" s="83"/>
      <c r="E253" s="83"/>
      <c r="F253" s="83"/>
      <c r="G253" s="83"/>
      <c r="H253" s="84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14.25" customHeight="1">
      <c r="A254" s="90"/>
      <c r="B254" s="83"/>
      <c r="C254" s="83"/>
      <c r="D254" s="83"/>
      <c r="E254" s="83"/>
      <c r="F254" s="83"/>
      <c r="G254" s="83"/>
      <c r="H254" s="84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14.25" customHeight="1">
      <c r="A255" s="90"/>
      <c r="B255" s="83"/>
      <c r="C255" s="83"/>
      <c r="D255" s="83"/>
      <c r="E255" s="83"/>
      <c r="F255" s="83"/>
      <c r="G255" s="83"/>
      <c r="H255" s="84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14.25" customHeight="1">
      <c r="A256" s="90"/>
      <c r="B256" s="83"/>
      <c r="C256" s="83"/>
      <c r="D256" s="83"/>
      <c r="E256" s="83"/>
      <c r="F256" s="83"/>
      <c r="G256" s="83"/>
      <c r="H256" s="84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14.25" customHeight="1">
      <c r="A257" s="90"/>
      <c r="B257" s="83"/>
      <c r="C257" s="83"/>
      <c r="D257" s="83"/>
      <c r="E257" s="83"/>
      <c r="F257" s="83"/>
      <c r="G257" s="83"/>
      <c r="H257" s="84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14.25" customHeight="1">
      <c r="A258" s="90"/>
      <c r="B258" s="83"/>
      <c r="C258" s="83"/>
      <c r="D258" s="83"/>
      <c r="E258" s="83"/>
      <c r="F258" s="83"/>
      <c r="G258" s="83"/>
      <c r="H258" s="84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14.25" customHeight="1">
      <c r="A259" s="90"/>
      <c r="B259" s="83"/>
      <c r="C259" s="83"/>
      <c r="D259" s="83"/>
      <c r="E259" s="83"/>
      <c r="F259" s="83"/>
      <c r="G259" s="83"/>
      <c r="H259" s="84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14.25" customHeight="1">
      <c r="A260" s="90"/>
      <c r="B260" s="83"/>
      <c r="C260" s="83"/>
      <c r="D260" s="83"/>
      <c r="E260" s="83"/>
      <c r="F260" s="83"/>
      <c r="G260" s="83"/>
      <c r="H260" s="84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14.25" customHeight="1">
      <c r="A261" s="90"/>
      <c r="B261" s="83"/>
      <c r="C261" s="83"/>
      <c r="D261" s="83"/>
      <c r="E261" s="83"/>
      <c r="F261" s="83"/>
      <c r="G261" s="83"/>
      <c r="H261" s="84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14.25" customHeight="1">
      <c r="A262" s="90"/>
      <c r="B262" s="83"/>
      <c r="C262" s="83"/>
      <c r="D262" s="83"/>
      <c r="E262" s="83"/>
      <c r="F262" s="83"/>
      <c r="G262" s="83"/>
      <c r="H262" s="84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14.25" customHeight="1">
      <c r="A263" s="90"/>
      <c r="B263" s="83"/>
      <c r="C263" s="83"/>
      <c r="D263" s="83"/>
      <c r="E263" s="83"/>
      <c r="F263" s="83"/>
      <c r="G263" s="83"/>
      <c r="H263" s="84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14.25" customHeight="1">
      <c r="A264" s="90"/>
      <c r="B264" s="83"/>
      <c r="C264" s="83"/>
      <c r="D264" s="83"/>
      <c r="E264" s="83"/>
      <c r="F264" s="83"/>
      <c r="G264" s="83"/>
      <c r="H264" s="84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14.25" customHeight="1">
      <c r="A265" s="90"/>
      <c r="B265" s="83"/>
      <c r="C265" s="83"/>
      <c r="D265" s="83"/>
      <c r="E265" s="83"/>
      <c r="F265" s="83"/>
      <c r="G265" s="83"/>
      <c r="H265" s="84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14.25" customHeight="1">
      <c r="A266" s="90"/>
      <c r="B266" s="83"/>
      <c r="C266" s="83"/>
      <c r="D266" s="83"/>
      <c r="E266" s="83"/>
      <c r="F266" s="83"/>
      <c r="G266" s="83"/>
      <c r="H266" s="84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14.25" customHeight="1">
      <c r="A267" s="90"/>
      <c r="B267" s="83"/>
      <c r="C267" s="83"/>
      <c r="D267" s="83"/>
      <c r="E267" s="83"/>
      <c r="F267" s="83"/>
      <c r="G267" s="83"/>
      <c r="H267" s="84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14.25" customHeight="1">
      <c r="A268" s="90"/>
      <c r="B268" s="83"/>
      <c r="C268" s="83"/>
      <c r="D268" s="83"/>
      <c r="E268" s="83"/>
      <c r="F268" s="83"/>
      <c r="G268" s="83"/>
      <c r="H268" s="84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14.25" customHeight="1">
      <c r="A269" s="90"/>
      <c r="B269" s="83"/>
      <c r="C269" s="83"/>
      <c r="D269" s="83"/>
      <c r="E269" s="83"/>
      <c r="F269" s="83"/>
      <c r="G269" s="83"/>
      <c r="H269" s="84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ht="14.25" customHeight="1">
      <c r="A270" s="90"/>
      <c r="B270" s="83"/>
      <c r="C270" s="83"/>
      <c r="D270" s="83"/>
      <c r="E270" s="83"/>
      <c r="F270" s="83"/>
      <c r="G270" s="83"/>
      <c r="H270" s="84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ht="14.25" customHeight="1">
      <c r="A271" s="90"/>
      <c r="B271" s="83"/>
      <c r="C271" s="83"/>
      <c r="D271" s="83"/>
      <c r="E271" s="83"/>
      <c r="F271" s="83"/>
      <c r="G271" s="83"/>
      <c r="H271" s="84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ht="14.25" customHeight="1">
      <c r="A272" s="90"/>
      <c r="B272" s="83"/>
      <c r="C272" s="83"/>
      <c r="D272" s="83"/>
      <c r="E272" s="83"/>
      <c r="F272" s="83"/>
      <c r="G272" s="83"/>
      <c r="H272" s="84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ht="14.25" customHeight="1">
      <c r="A273" s="90"/>
      <c r="B273" s="83"/>
      <c r="C273" s="83"/>
      <c r="D273" s="83"/>
      <c r="E273" s="83"/>
      <c r="F273" s="83"/>
      <c r="G273" s="83"/>
      <c r="H273" s="84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ht="14.25" customHeight="1">
      <c r="A274" s="90"/>
      <c r="B274" s="83"/>
      <c r="C274" s="83"/>
      <c r="D274" s="83"/>
      <c r="E274" s="83"/>
      <c r="F274" s="83"/>
      <c r="G274" s="83"/>
      <c r="H274" s="84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14.25" customHeight="1">
      <c r="A275" s="90"/>
      <c r="B275" s="83"/>
      <c r="C275" s="83"/>
      <c r="D275" s="83"/>
      <c r="E275" s="83"/>
      <c r="F275" s="83"/>
      <c r="G275" s="83"/>
      <c r="H275" s="84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ht="14.25" customHeight="1">
      <c r="A276" s="90"/>
      <c r="B276" s="83"/>
      <c r="C276" s="83"/>
      <c r="D276" s="83"/>
      <c r="E276" s="83"/>
      <c r="F276" s="83"/>
      <c r="G276" s="83"/>
      <c r="H276" s="84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ht="14.25" customHeight="1">
      <c r="A277" s="90"/>
      <c r="B277" s="83"/>
      <c r="C277" s="83"/>
      <c r="D277" s="83"/>
      <c r="E277" s="83"/>
      <c r="F277" s="83"/>
      <c r="G277" s="83"/>
      <c r="H277" s="84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ht="14.25" customHeight="1">
      <c r="A278" s="90"/>
      <c r="B278" s="83"/>
      <c r="C278" s="83"/>
      <c r="D278" s="83"/>
      <c r="E278" s="83"/>
      <c r="F278" s="83"/>
      <c r="G278" s="83"/>
      <c r="H278" s="84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ht="14.25" customHeight="1">
      <c r="A279" s="90"/>
      <c r="B279" s="83"/>
      <c r="C279" s="83"/>
      <c r="D279" s="83"/>
      <c r="E279" s="83"/>
      <c r="F279" s="83"/>
      <c r="G279" s="83"/>
      <c r="H279" s="84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ht="14.25" customHeight="1">
      <c r="A280" s="90"/>
      <c r="B280" s="83"/>
      <c r="C280" s="83"/>
      <c r="D280" s="83"/>
      <c r="E280" s="83"/>
      <c r="F280" s="83"/>
      <c r="G280" s="83"/>
      <c r="H280" s="84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ht="14.25" customHeight="1">
      <c r="A281" s="90"/>
      <c r="B281" s="83"/>
      <c r="C281" s="83"/>
      <c r="D281" s="83"/>
      <c r="E281" s="83"/>
      <c r="F281" s="83"/>
      <c r="G281" s="83"/>
      <c r="H281" s="84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ht="14.25" customHeight="1">
      <c r="A282" s="90"/>
      <c r="B282" s="83"/>
      <c r="C282" s="83"/>
      <c r="D282" s="83"/>
      <c r="E282" s="83"/>
      <c r="F282" s="83"/>
      <c r="G282" s="83"/>
      <c r="H282" s="84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ht="14.25" customHeight="1">
      <c r="A283" s="90"/>
      <c r="B283" s="83"/>
      <c r="C283" s="83"/>
      <c r="D283" s="83"/>
      <c r="E283" s="83"/>
      <c r="F283" s="83"/>
      <c r="G283" s="83"/>
      <c r="H283" s="84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ht="14.25" customHeight="1">
      <c r="A284" s="90"/>
      <c r="B284" s="83"/>
      <c r="C284" s="83"/>
      <c r="D284" s="83"/>
      <c r="E284" s="83"/>
      <c r="F284" s="83"/>
      <c r="G284" s="83"/>
      <c r="H284" s="84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ht="14.25" customHeight="1">
      <c r="A285" s="90"/>
      <c r="B285" s="83"/>
      <c r="C285" s="83"/>
      <c r="D285" s="83"/>
      <c r="E285" s="83"/>
      <c r="F285" s="83"/>
      <c r="G285" s="83"/>
      <c r="H285" s="84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ht="14.25" customHeight="1">
      <c r="A286" s="90"/>
      <c r="B286" s="83"/>
      <c r="C286" s="83"/>
      <c r="D286" s="83"/>
      <c r="E286" s="83"/>
      <c r="F286" s="83"/>
      <c r="G286" s="83"/>
      <c r="H286" s="84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ht="14.25" customHeight="1">
      <c r="A287" s="90"/>
      <c r="B287" s="83"/>
      <c r="C287" s="83"/>
      <c r="D287" s="83"/>
      <c r="E287" s="83"/>
      <c r="F287" s="83"/>
      <c r="G287" s="83"/>
      <c r="H287" s="84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ht="14.25" customHeight="1">
      <c r="A288" s="90"/>
      <c r="B288" s="83"/>
      <c r="C288" s="83"/>
      <c r="D288" s="83"/>
      <c r="E288" s="83"/>
      <c r="F288" s="83"/>
      <c r="G288" s="83"/>
      <c r="H288" s="84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ht="14.25" customHeight="1">
      <c r="A289" s="90"/>
      <c r="B289" s="83"/>
      <c r="C289" s="83"/>
      <c r="D289" s="83"/>
      <c r="E289" s="83"/>
      <c r="F289" s="83"/>
      <c r="G289" s="83"/>
      <c r="H289" s="84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ht="14.25" customHeight="1">
      <c r="A290" s="90"/>
      <c r="B290" s="83"/>
      <c r="C290" s="83"/>
      <c r="D290" s="83"/>
      <c r="E290" s="83"/>
      <c r="F290" s="83"/>
      <c r="G290" s="83"/>
      <c r="H290" s="84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14.25" customHeight="1">
      <c r="A291" s="90"/>
      <c r="B291" s="83"/>
      <c r="C291" s="83"/>
      <c r="D291" s="83"/>
      <c r="E291" s="83"/>
      <c r="F291" s="83"/>
      <c r="G291" s="83"/>
      <c r="H291" s="84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14.25" customHeight="1">
      <c r="A292" s="90"/>
      <c r="B292" s="83"/>
      <c r="C292" s="83"/>
      <c r="D292" s="83"/>
      <c r="E292" s="83"/>
      <c r="F292" s="83"/>
      <c r="G292" s="83"/>
      <c r="H292" s="84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14.25" customHeight="1">
      <c r="A293" s="90"/>
      <c r="B293" s="83"/>
      <c r="C293" s="83"/>
      <c r="D293" s="83"/>
      <c r="E293" s="83"/>
      <c r="F293" s="83"/>
      <c r="G293" s="83"/>
      <c r="H293" s="84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14.25" customHeight="1">
      <c r="A294" s="90"/>
      <c r="B294" s="83"/>
      <c r="C294" s="83"/>
      <c r="D294" s="83"/>
      <c r="E294" s="83"/>
      <c r="F294" s="83"/>
      <c r="G294" s="83"/>
      <c r="H294" s="84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14.25" customHeight="1">
      <c r="A295" s="90"/>
      <c r="B295" s="83"/>
      <c r="C295" s="83"/>
      <c r="D295" s="83"/>
      <c r="E295" s="83"/>
      <c r="F295" s="83"/>
      <c r="G295" s="83"/>
      <c r="H295" s="84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14.25" customHeight="1">
      <c r="A296" s="90"/>
      <c r="B296" s="83"/>
      <c r="C296" s="83"/>
      <c r="D296" s="83"/>
      <c r="E296" s="83"/>
      <c r="F296" s="83"/>
      <c r="G296" s="83"/>
      <c r="H296" s="84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14.25" customHeight="1">
      <c r="A297" s="90"/>
      <c r="B297" s="83"/>
      <c r="C297" s="83"/>
      <c r="D297" s="83"/>
      <c r="E297" s="83"/>
      <c r="F297" s="83"/>
      <c r="G297" s="83"/>
      <c r="H297" s="84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14.25" customHeight="1">
      <c r="A298" s="90"/>
      <c r="B298" s="83"/>
      <c r="C298" s="83"/>
      <c r="D298" s="83"/>
      <c r="E298" s="83"/>
      <c r="F298" s="83"/>
      <c r="G298" s="83"/>
      <c r="H298" s="84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14.25" customHeight="1">
      <c r="A299" s="90"/>
      <c r="B299" s="83"/>
      <c r="C299" s="83"/>
      <c r="D299" s="83"/>
      <c r="E299" s="83"/>
      <c r="F299" s="83"/>
      <c r="G299" s="83"/>
      <c r="H299" s="84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14.25" customHeight="1">
      <c r="A300" s="90"/>
      <c r="B300" s="83"/>
      <c r="C300" s="83"/>
      <c r="D300" s="83"/>
      <c r="E300" s="83"/>
      <c r="F300" s="83"/>
      <c r="G300" s="83"/>
      <c r="H300" s="84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14.25" customHeight="1">
      <c r="A301" s="90"/>
      <c r="B301" s="83"/>
      <c r="C301" s="83"/>
      <c r="D301" s="83"/>
      <c r="E301" s="83"/>
      <c r="F301" s="83"/>
      <c r="G301" s="83"/>
      <c r="H301" s="84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ht="14.25" customHeight="1">
      <c r="A302" s="90"/>
      <c r="B302" s="83"/>
      <c r="C302" s="83"/>
      <c r="D302" s="83"/>
      <c r="E302" s="83"/>
      <c r="F302" s="83"/>
      <c r="G302" s="83"/>
      <c r="H302" s="84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14.25" customHeight="1">
      <c r="A303" s="90"/>
      <c r="B303" s="83"/>
      <c r="C303" s="83"/>
      <c r="D303" s="83"/>
      <c r="E303" s="83"/>
      <c r="F303" s="83"/>
      <c r="G303" s="83"/>
      <c r="H303" s="84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14.25" customHeight="1">
      <c r="A304" s="90"/>
      <c r="B304" s="83"/>
      <c r="C304" s="83"/>
      <c r="D304" s="83"/>
      <c r="E304" s="83"/>
      <c r="F304" s="83"/>
      <c r="G304" s="83"/>
      <c r="H304" s="84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14.25" customHeight="1">
      <c r="A305" s="90"/>
      <c r="B305" s="83"/>
      <c r="C305" s="83"/>
      <c r="D305" s="83"/>
      <c r="E305" s="83"/>
      <c r="F305" s="83"/>
      <c r="G305" s="83"/>
      <c r="H305" s="84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14.25" customHeight="1">
      <c r="A306" s="90"/>
      <c r="B306" s="83"/>
      <c r="C306" s="83"/>
      <c r="D306" s="83"/>
      <c r="E306" s="83"/>
      <c r="F306" s="83"/>
      <c r="G306" s="83"/>
      <c r="H306" s="84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14.25" customHeight="1">
      <c r="A307" s="90"/>
      <c r="B307" s="83"/>
      <c r="C307" s="83"/>
      <c r="D307" s="83"/>
      <c r="E307" s="83"/>
      <c r="F307" s="83"/>
      <c r="G307" s="83"/>
      <c r="H307" s="84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14.25" customHeight="1">
      <c r="A308" s="90"/>
      <c r="B308" s="83"/>
      <c r="C308" s="83"/>
      <c r="D308" s="83"/>
      <c r="E308" s="83"/>
      <c r="F308" s="83"/>
      <c r="G308" s="83"/>
      <c r="H308" s="84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ht="14.25" customHeight="1">
      <c r="A309" s="90"/>
      <c r="B309" s="83"/>
      <c r="C309" s="83"/>
      <c r="D309" s="83"/>
      <c r="E309" s="83"/>
      <c r="F309" s="83"/>
      <c r="G309" s="83"/>
      <c r="H309" s="84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ht="14.25" customHeight="1">
      <c r="A310" s="90"/>
      <c r="B310" s="83"/>
      <c r="C310" s="83"/>
      <c r="D310" s="83"/>
      <c r="E310" s="83"/>
      <c r="F310" s="83"/>
      <c r="G310" s="83"/>
      <c r="H310" s="84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ht="14.25" customHeight="1">
      <c r="A311" s="90"/>
      <c r="B311" s="83"/>
      <c r="C311" s="83"/>
      <c r="D311" s="83"/>
      <c r="E311" s="83"/>
      <c r="F311" s="83"/>
      <c r="G311" s="83"/>
      <c r="H311" s="84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ht="14.25" customHeight="1">
      <c r="A312" s="90"/>
      <c r="B312" s="83"/>
      <c r="C312" s="83"/>
      <c r="D312" s="83"/>
      <c r="E312" s="83"/>
      <c r="F312" s="83"/>
      <c r="G312" s="83"/>
      <c r="H312" s="84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ht="14.25" customHeight="1">
      <c r="A313" s="90"/>
      <c r="B313" s="83"/>
      <c r="C313" s="83"/>
      <c r="D313" s="83"/>
      <c r="E313" s="83"/>
      <c r="F313" s="83"/>
      <c r="G313" s="83"/>
      <c r="H313" s="84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ht="14.25" customHeight="1">
      <c r="A314" s="90"/>
      <c r="B314" s="83"/>
      <c r="C314" s="83"/>
      <c r="D314" s="83"/>
      <c r="E314" s="83"/>
      <c r="F314" s="83"/>
      <c r="G314" s="83"/>
      <c r="H314" s="84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ht="14.25" customHeight="1">
      <c r="A315" s="90"/>
      <c r="B315" s="83"/>
      <c r="C315" s="83"/>
      <c r="D315" s="83"/>
      <c r="E315" s="83"/>
      <c r="F315" s="83"/>
      <c r="G315" s="83"/>
      <c r="H315" s="84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ht="14.25" customHeight="1">
      <c r="A316" s="90"/>
      <c r="B316" s="83"/>
      <c r="C316" s="83"/>
      <c r="D316" s="83"/>
      <c r="E316" s="83"/>
      <c r="F316" s="83"/>
      <c r="G316" s="83"/>
      <c r="H316" s="84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ht="14.25" customHeight="1">
      <c r="A317" s="90"/>
      <c r="B317" s="83"/>
      <c r="C317" s="83"/>
      <c r="D317" s="83"/>
      <c r="E317" s="83"/>
      <c r="F317" s="83"/>
      <c r="G317" s="83"/>
      <c r="H317" s="84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ht="14.25" customHeight="1">
      <c r="A318" s="90"/>
      <c r="B318" s="83"/>
      <c r="C318" s="83"/>
      <c r="D318" s="83"/>
      <c r="E318" s="83"/>
      <c r="F318" s="83"/>
      <c r="G318" s="83"/>
      <c r="H318" s="84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ht="14.25" customHeight="1">
      <c r="A319" s="90"/>
      <c r="B319" s="83"/>
      <c r="C319" s="83"/>
      <c r="D319" s="83"/>
      <c r="E319" s="83"/>
      <c r="F319" s="83"/>
      <c r="G319" s="83"/>
      <c r="H319" s="84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ht="14.25" customHeight="1">
      <c r="A320" s="90"/>
      <c r="B320" s="83"/>
      <c r="C320" s="83"/>
      <c r="D320" s="83"/>
      <c r="E320" s="83"/>
      <c r="F320" s="83"/>
      <c r="G320" s="83"/>
      <c r="H320" s="84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ht="14.25" customHeight="1">
      <c r="A321" s="90"/>
      <c r="B321" s="83"/>
      <c r="C321" s="83"/>
      <c r="D321" s="83"/>
      <c r="E321" s="83"/>
      <c r="F321" s="83"/>
      <c r="G321" s="83"/>
      <c r="H321" s="84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ht="14.25" customHeight="1">
      <c r="A322" s="90"/>
      <c r="B322" s="83"/>
      <c r="C322" s="83"/>
      <c r="D322" s="83"/>
      <c r="E322" s="83"/>
      <c r="F322" s="83"/>
      <c r="G322" s="83"/>
      <c r="H322" s="84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ht="14.25" customHeight="1">
      <c r="A323" s="90"/>
      <c r="B323" s="83"/>
      <c r="C323" s="83"/>
      <c r="D323" s="83"/>
      <c r="E323" s="83"/>
      <c r="F323" s="83"/>
      <c r="G323" s="83"/>
      <c r="H323" s="84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ht="14.25" customHeight="1">
      <c r="A324" s="90"/>
      <c r="B324" s="83"/>
      <c r="C324" s="83"/>
      <c r="D324" s="83"/>
      <c r="E324" s="83"/>
      <c r="F324" s="83"/>
      <c r="G324" s="83"/>
      <c r="H324" s="84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14.25" customHeight="1">
      <c r="A325" s="90"/>
      <c r="B325" s="83"/>
      <c r="C325" s="83"/>
      <c r="D325" s="83"/>
      <c r="E325" s="83"/>
      <c r="F325" s="83"/>
      <c r="G325" s="83"/>
      <c r="H325" s="84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ht="14.25" customHeight="1">
      <c r="A326" s="90"/>
      <c r="B326" s="83"/>
      <c r="C326" s="83"/>
      <c r="D326" s="83"/>
      <c r="E326" s="83"/>
      <c r="F326" s="83"/>
      <c r="G326" s="83"/>
      <c r="H326" s="84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ht="14.25" customHeight="1">
      <c r="A327" s="90"/>
      <c r="B327" s="83"/>
      <c r="C327" s="83"/>
      <c r="D327" s="83"/>
      <c r="E327" s="83"/>
      <c r="F327" s="83"/>
      <c r="G327" s="83"/>
      <c r="H327" s="84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ht="14.25" customHeight="1">
      <c r="A328" s="90"/>
      <c r="B328" s="83"/>
      <c r="C328" s="83"/>
      <c r="D328" s="83"/>
      <c r="E328" s="83"/>
      <c r="F328" s="83"/>
      <c r="G328" s="83"/>
      <c r="H328" s="84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ht="14.25" customHeight="1">
      <c r="A329" s="90"/>
      <c r="B329" s="83"/>
      <c r="C329" s="83"/>
      <c r="D329" s="83"/>
      <c r="E329" s="83"/>
      <c r="F329" s="83"/>
      <c r="G329" s="83"/>
      <c r="H329" s="84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ht="14.25" customHeight="1">
      <c r="A330" s="90"/>
      <c r="B330" s="83"/>
      <c r="C330" s="83"/>
      <c r="D330" s="83"/>
      <c r="E330" s="83"/>
      <c r="F330" s="83"/>
      <c r="G330" s="83"/>
      <c r="H330" s="84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ht="14.25" customHeight="1">
      <c r="A331" s="90"/>
      <c r="B331" s="83"/>
      <c r="C331" s="83"/>
      <c r="D331" s="83"/>
      <c r="E331" s="83"/>
      <c r="F331" s="83"/>
      <c r="G331" s="83"/>
      <c r="H331" s="84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ht="14.25" customHeight="1">
      <c r="A332" s="90"/>
      <c r="B332" s="83"/>
      <c r="C332" s="83"/>
      <c r="D332" s="83"/>
      <c r="E332" s="83"/>
      <c r="F332" s="83"/>
      <c r="G332" s="83"/>
      <c r="H332" s="84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ht="14.25" customHeight="1">
      <c r="A333" s="90"/>
      <c r="B333" s="83"/>
      <c r="C333" s="83"/>
      <c r="D333" s="83"/>
      <c r="E333" s="83"/>
      <c r="F333" s="83"/>
      <c r="G333" s="83"/>
      <c r="H333" s="84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ht="14.25" customHeight="1">
      <c r="A334" s="90"/>
      <c r="B334" s="83"/>
      <c r="C334" s="83"/>
      <c r="D334" s="83"/>
      <c r="E334" s="83"/>
      <c r="F334" s="83"/>
      <c r="G334" s="83"/>
      <c r="H334" s="84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ht="14.25" customHeight="1">
      <c r="A335" s="90"/>
      <c r="B335" s="83"/>
      <c r="C335" s="83"/>
      <c r="D335" s="83"/>
      <c r="E335" s="83"/>
      <c r="F335" s="83"/>
      <c r="G335" s="83"/>
      <c r="H335" s="84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ht="14.25" customHeight="1">
      <c r="A336" s="90"/>
      <c r="B336" s="83"/>
      <c r="C336" s="83"/>
      <c r="D336" s="83"/>
      <c r="E336" s="83"/>
      <c r="F336" s="83"/>
      <c r="G336" s="83"/>
      <c r="H336" s="84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ht="14.25" customHeight="1">
      <c r="A337" s="90"/>
      <c r="B337" s="83"/>
      <c r="C337" s="83"/>
      <c r="D337" s="83"/>
      <c r="E337" s="83"/>
      <c r="F337" s="83"/>
      <c r="G337" s="83"/>
      <c r="H337" s="84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ht="14.25" customHeight="1">
      <c r="A338" s="90"/>
      <c r="B338" s="83"/>
      <c r="C338" s="83"/>
      <c r="D338" s="83"/>
      <c r="E338" s="83"/>
      <c r="F338" s="83"/>
      <c r="G338" s="83"/>
      <c r="H338" s="84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ht="14.25" customHeight="1">
      <c r="A339" s="90"/>
      <c r="B339" s="83"/>
      <c r="C339" s="83"/>
      <c r="D339" s="83"/>
      <c r="E339" s="83"/>
      <c r="F339" s="83"/>
      <c r="G339" s="83"/>
      <c r="H339" s="84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ht="14.25" customHeight="1">
      <c r="A340" s="90"/>
      <c r="B340" s="83"/>
      <c r="C340" s="83"/>
      <c r="D340" s="83"/>
      <c r="E340" s="83"/>
      <c r="F340" s="83"/>
      <c r="G340" s="83"/>
      <c r="H340" s="84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14.25" customHeight="1">
      <c r="A341" s="90"/>
      <c r="B341" s="83"/>
      <c r="C341" s="83"/>
      <c r="D341" s="83"/>
      <c r="E341" s="83"/>
      <c r="F341" s="83"/>
      <c r="G341" s="83"/>
      <c r="H341" s="84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14.25" customHeight="1">
      <c r="A342" s="90"/>
      <c r="B342" s="83"/>
      <c r="C342" s="83"/>
      <c r="D342" s="83"/>
      <c r="E342" s="83"/>
      <c r="F342" s="83"/>
      <c r="G342" s="83"/>
      <c r="H342" s="84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14.25" customHeight="1">
      <c r="A343" s="90"/>
      <c r="B343" s="83"/>
      <c r="C343" s="83"/>
      <c r="D343" s="83"/>
      <c r="E343" s="83"/>
      <c r="F343" s="83"/>
      <c r="G343" s="83"/>
      <c r="H343" s="84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14.25" customHeight="1">
      <c r="A344" s="90"/>
      <c r="B344" s="83"/>
      <c r="C344" s="83"/>
      <c r="D344" s="83"/>
      <c r="E344" s="83"/>
      <c r="F344" s="83"/>
      <c r="G344" s="83"/>
      <c r="H344" s="84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14.25" customHeight="1">
      <c r="A345" s="90"/>
      <c r="B345" s="83"/>
      <c r="C345" s="83"/>
      <c r="D345" s="83"/>
      <c r="E345" s="83"/>
      <c r="F345" s="83"/>
      <c r="G345" s="83"/>
      <c r="H345" s="84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14.25" customHeight="1">
      <c r="A346" s="90"/>
      <c r="B346" s="83"/>
      <c r="C346" s="83"/>
      <c r="D346" s="83"/>
      <c r="E346" s="83"/>
      <c r="F346" s="83"/>
      <c r="G346" s="83"/>
      <c r="H346" s="84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14.25" customHeight="1">
      <c r="A347" s="90"/>
      <c r="B347" s="83"/>
      <c r="C347" s="83"/>
      <c r="D347" s="83"/>
      <c r="E347" s="83"/>
      <c r="F347" s="83"/>
      <c r="G347" s="83"/>
      <c r="H347" s="84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14.25" customHeight="1">
      <c r="A348" s="90"/>
      <c r="B348" s="83"/>
      <c r="C348" s="83"/>
      <c r="D348" s="83"/>
      <c r="E348" s="83"/>
      <c r="F348" s="83"/>
      <c r="G348" s="83"/>
      <c r="H348" s="84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14.25" customHeight="1">
      <c r="A349" s="90"/>
      <c r="B349" s="83"/>
      <c r="C349" s="83"/>
      <c r="D349" s="83"/>
      <c r="E349" s="83"/>
      <c r="F349" s="83"/>
      <c r="G349" s="83"/>
      <c r="H349" s="84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14.25" customHeight="1">
      <c r="A350" s="90"/>
      <c r="B350" s="83"/>
      <c r="C350" s="83"/>
      <c r="D350" s="83"/>
      <c r="E350" s="83"/>
      <c r="F350" s="83"/>
      <c r="G350" s="83"/>
      <c r="H350" s="84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14.25" customHeight="1">
      <c r="A351" s="90"/>
      <c r="B351" s="83"/>
      <c r="C351" s="83"/>
      <c r="D351" s="83"/>
      <c r="E351" s="83"/>
      <c r="F351" s="83"/>
      <c r="G351" s="83"/>
      <c r="H351" s="84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14.25" customHeight="1">
      <c r="A352" s="90"/>
      <c r="B352" s="83"/>
      <c r="C352" s="83"/>
      <c r="D352" s="83"/>
      <c r="E352" s="83"/>
      <c r="F352" s="83"/>
      <c r="G352" s="83"/>
      <c r="H352" s="84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14.25" customHeight="1">
      <c r="A353" s="90"/>
      <c r="B353" s="83"/>
      <c r="C353" s="83"/>
      <c r="D353" s="83"/>
      <c r="E353" s="83"/>
      <c r="F353" s="83"/>
      <c r="G353" s="83"/>
      <c r="H353" s="84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14.25" customHeight="1">
      <c r="A354" s="90"/>
      <c r="B354" s="83"/>
      <c r="C354" s="83"/>
      <c r="D354" s="83"/>
      <c r="E354" s="83"/>
      <c r="F354" s="83"/>
      <c r="G354" s="83"/>
      <c r="H354" s="84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14.25" customHeight="1">
      <c r="A355" s="90"/>
      <c r="B355" s="83"/>
      <c r="C355" s="83"/>
      <c r="D355" s="83"/>
      <c r="E355" s="83"/>
      <c r="F355" s="83"/>
      <c r="G355" s="83"/>
      <c r="H355" s="84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14.25" customHeight="1">
      <c r="A356" s="90"/>
      <c r="B356" s="83"/>
      <c r="C356" s="83"/>
      <c r="D356" s="83"/>
      <c r="E356" s="83"/>
      <c r="F356" s="83"/>
      <c r="G356" s="83"/>
      <c r="H356" s="84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14.25" customHeight="1">
      <c r="A357" s="90"/>
      <c r="B357" s="83"/>
      <c r="C357" s="83"/>
      <c r="D357" s="83"/>
      <c r="E357" s="83"/>
      <c r="F357" s="83"/>
      <c r="G357" s="83"/>
      <c r="H357" s="84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14.25" customHeight="1">
      <c r="A358" s="90"/>
      <c r="B358" s="83"/>
      <c r="C358" s="83"/>
      <c r="D358" s="83"/>
      <c r="E358" s="83"/>
      <c r="F358" s="83"/>
      <c r="G358" s="83"/>
      <c r="H358" s="84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ht="14.25" customHeight="1">
      <c r="A359" s="90"/>
      <c r="B359" s="83"/>
      <c r="C359" s="83"/>
      <c r="D359" s="83"/>
      <c r="E359" s="83"/>
      <c r="F359" s="83"/>
      <c r="G359" s="83"/>
      <c r="H359" s="84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ht="14.25" customHeight="1">
      <c r="A360" s="90"/>
      <c r="B360" s="83"/>
      <c r="C360" s="83"/>
      <c r="D360" s="83"/>
      <c r="E360" s="83"/>
      <c r="F360" s="83"/>
      <c r="G360" s="83"/>
      <c r="H360" s="84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ht="14.25" customHeight="1">
      <c r="A361" s="90"/>
      <c r="B361" s="83"/>
      <c r="C361" s="83"/>
      <c r="D361" s="83"/>
      <c r="E361" s="83"/>
      <c r="F361" s="83"/>
      <c r="G361" s="83"/>
      <c r="H361" s="84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ht="14.25" customHeight="1">
      <c r="A362" s="90"/>
      <c r="B362" s="83"/>
      <c r="C362" s="83"/>
      <c r="D362" s="83"/>
      <c r="E362" s="83"/>
      <c r="F362" s="83"/>
      <c r="G362" s="83"/>
      <c r="H362" s="84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ht="14.25" customHeight="1">
      <c r="A363" s="90"/>
      <c r="B363" s="83"/>
      <c r="C363" s="83"/>
      <c r="D363" s="83"/>
      <c r="E363" s="83"/>
      <c r="F363" s="83"/>
      <c r="G363" s="83"/>
      <c r="H363" s="84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ht="14.25" customHeight="1">
      <c r="A364" s="90"/>
      <c r="B364" s="83"/>
      <c r="C364" s="83"/>
      <c r="D364" s="83"/>
      <c r="E364" s="83"/>
      <c r="F364" s="83"/>
      <c r="G364" s="83"/>
      <c r="H364" s="84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ht="14.25" customHeight="1">
      <c r="A365" s="90"/>
      <c r="B365" s="83"/>
      <c r="C365" s="83"/>
      <c r="D365" s="83"/>
      <c r="E365" s="83"/>
      <c r="F365" s="83"/>
      <c r="G365" s="83"/>
      <c r="H365" s="84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ht="14.25" customHeight="1">
      <c r="A366" s="90"/>
      <c r="B366" s="83"/>
      <c r="C366" s="83"/>
      <c r="D366" s="83"/>
      <c r="E366" s="83"/>
      <c r="F366" s="83"/>
      <c r="G366" s="83"/>
      <c r="H366" s="84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ht="14.25" customHeight="1">
      <c r="A367" s="90"/>
      <c r="B367" s="83"/>
      <c r="C367" s="83"/>
      <c r="D367" s="83"/>
      <c r="E367" s="83"/>
      <c r="F367" s="83"/>
      <c r="G367" s="83"/>
      <c r="H367" s="84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ht="14.25" customHeight="1">
      <c r="A368" s="90"/>
      <c r="B368" s="83"/>
      <c r="C368" s="83"/>
      <c r="D368" s="83"/>
      <c r="E368" s="83"/>
      <c r="F368" s="83"/>
      <c r="G368" s="83"/>
      <c r="H368" s="84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ht="14.25" customHeight="1">
      <c r="A369" s="90"/>
      <c r="B369" s="83"/>
      <c r="C369" s="83"/>
      <c r="D369" s="83"/>
      <c r="E369" s="83"/>
      <c r="F369" s="83"/>
      <c r="G369" s="83"/>
      <c r="H369" s="84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ht="14.25" customHeight="1">
      <c r="A370" s="90"/>
      <c r="B370" s="83"/>
      <c r="C370" s="83"/>
      <c r="D370" s="83"/>
      <c r="E370" s="83"/>
      <c r="F370" s="83"/>
      <c r="G370" s="83"/>
      <c r="H370" s="84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ht="14.25" customHeight="1">
      <c r="A371" s="90"/>
      <c r="B371" s="83"/>
      <c r="C371" s="83"/>
      <c r="D371" s="83"/>
      <c r="E371" s="83"/>
      <c r="F371" s="83"/>
      <c r="G371" s="83"/>
      <c r="H371" s="84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ht="14.25" customHeight="1">
      <c r="A372" s="90"/>
      <c r="B372" s="83"/>
      <c r="C372" s="83"/>
      <c r="D372" s="83"/>
      <c r="E372" s="83"/>
      <c r="F372" s="83"/>
      <c r="G372" s="83"/>
      <c r="H372" s="84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ht="14.25" customHeight="1">
      <c r="A373" s="90"/>
      <c r="B373" s="83"/>
      <c r="C373" s="83"/>
      <c r="D373" s="83"/>
      <c r="E373" s="83"/>
      <c r="F373" s="83"/>
      <c r="G373" s="83"/>
      <c r="H373" s="84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14.25" customHeight="1">
      <c r="A374" s="90"/>
      <c r="B374" s="83"/>
      <c r="C374" s="83"/>
      <c r="D374" s="83"/>
      <c r="E374" s="83"/>
      <c r="F374" s="83"/>
      <c r="G374" s="83"/>
      <c r="H374" s="84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14.25" customHeight="1">
      <c r="A375" s="90"/>
      <c r="B375" s="83"/>
      <c r="C375" s="83"/>
      <c r="D375" s="83"/>
      <c r="E375" s="83"/>
      <c r="F375" s="83"/>
      <c r="G375" s="83"/>
      <c r="H375" s="84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14.25" customHeight="1">
      <c r="A376" s="90"/>
      <c r="B376" s="83"/>
      <c r="C376" s="83"/>
      <c r="D376" s="83"/>
      <c r="E376" s="83"/>
      <c r="F376" s="83"/>
      <c r="G376" s="83"/>
      <c r="H376" s="84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14.25" customHeight="1">
      <c r="A377" s="90"/>
      <c r="B377" s="83"/>
      <c r="C377" s="83"/>
      <c r="D377" s="83"/>
      <c r="E377" s="83"/>
      <c r="F377" s="83"/>
      <c r="G377" s="83"/>
      <c r="H377" s="84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14.25" customHeight="1">
      <c r="A378" s="90"/>
      <c r="B378" s="83"/>
      <c r="C378" s="83"/>
      <c r="D378" s="83"/>
      <c r="E378" s="83"/>
      <c r="F378" s="83"/>
      <c r="G378" s="83"/>
      <c r="H378" s="84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14.25" customHeight="1">
      <c r="A379" s="90"/>
      <c r="B379" s="83"/>
      <c r="C379" s="83"/>
      <c r="D379" s="83"/>
      <c r="E379" s="83"/>
      <c r="F379" s="83"/>
      <c r="G379" s="83"/>
      <c r="H379" s="84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14.25" customHeight="1">
      <c r="A380" s="90"/>
      <c r="B380" s="83"/>
      <c r="C380" s="83"/>
      <c r="D380" s="83"/>
      <c r="E380" s="83"/>
      <c r="F380" s="83"/>
      <c r="G380" s="83"/>
      <c r="H380" s="84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14.25" customHeight="1">
      <c r="A381" s="90"/>
      <c r="B381" s="83"/>
      <c r="C381" s="83"/>
      <c r="D381" s="83"/>
      <c r="E381" s="83"/>
      <c r="F381" s="83"/>
      <c r="G381" s="83"/>
      <c r="H381" s="84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14.25" customHeight="1">
      <c r="A382" s="90"/>
      <c r="B382" s="83"/>
      <c r="C382" s="83"/>
      <c r="D382" s="83"/>
      <c r="E382" s="83"/>
      <c r="F382" s="83"/>
      <c r="G382" s="83"/>
      <c r="H382" s="84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14.25" customHeight="1">
      <c r="A383" s="90"/>
      <c r="B383" s="83"/>
      <c r="C383" s="83"/>
      <c r="D383" s="83"/>
      <c r="E383" s="83"/>
      <c r="F383" s="83"/>
      <c r="G383" s="83"/>
      <c r="H383" s="84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14.25" customHeight="1">
      <c r="A384" s="90"/>
      <c r="B384" s="83"/>
      <c r="C384" s="83"/>
      <c r="D384" s="83"/>
      <c r="E384" s="83"/>
      <c r="F384" s="83"/>
      <c r="G384" s="83"/>
      <c r="H384" s="84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14.25" customHeight="1">
      <c r="A385" s="90"/>
      <c r="B385" s="83"/>
      <c r="C385" s="83"/>
      <c r="D385" s="83"/>
      <c r="E385" s="83"/>
      <c r="F385" s="83"/>
      <c r="G385" s="83"/>
      <c r="H385" s="84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14.25" customHeight="1">
      <c r="A386" s="90"/>
      <c r="B386" s="83"/>
      <c r="C386" s="83"/>
      <c r="D386" s="83"/>
      <c r="E386" s="83"/>
      <c r="F386" s="83"/>
      <c r="G386" s="83"/>
      <c r="H386" s="84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14.25" customHeight="1">
      <c r="A387" s="90"/>
      <c r="B387" s="83"/>
      <c r="C387" s="83"/>
      <c r="D387" s="83"/>
      <c r="E387" s="83"/>
      <c r="F387" s="83"/>
      <c r="G387" s="83"/>
      <c r="H387" s="84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14.25" customHeight="1">
      <c r="A388" s="90"/>
      <c r="B388" s="83"/>
      <c r="C388" s="83"/>
      <c r="D388" s="83"/>
      <c r="E388" s="83"/>
      <c r="F388" s="83"/>
      <c r="G388" s="83"/>
      <c r="H388" s="84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14.25" customHeight="1">
      <c r="A389" s="90"/>
      <c r="B389" s="83"/>
      <c r="C389" s="83"/>
      <c r="D389" s="83"/>
      <c r="E389" s="83"/>
      <c r="F389" s="83"/>
      <c r="G389" s="83"/>
      <c r="H389" s="84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14.25" customHeight="1">
      <c r="A390" s="90"/>
      <c r="B390" s="83"/>
      <c r="C390" s="83"/>
      <c r="D390" s="83"/>
      <c r="E390" s="83"/>
      <c r="F390" s="83"/>
      <c r="G390" s="83"/>
      <c r="H390" s="84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14.25" customHeight="1">
      <c r="A391" s="90"/>
      <c r="B391" s="83"/>
      <c r="C391" s="83"/>
      <c r="D391" s="83"/>
      <c r="E391" s="83"/>
      <c r="F391" s="83"/>
      <c r="G391" s="83"/>
      <c r="H391" s="84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14.25" customHeight="1">
      <c r="A392" s="90"/>
      <c r="B392" s="83"/>
      <c r="C392" s="83"/>
      <c r="D392" s="83"/>
      <c r="E392" s="83"/>
      <c r="F392" s="83"/>
      <c r="G392" s="83"/>
      <c r="H392" s="84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14.25" customHeight="1">
      <c r="A393" s="90"/>
      <c r="B393" s="83"/>
      <c r="C393" s="83"/>
      <c r="D393" s="83"/>
      <c r="E393" s="83"/>
      <c r="F393" s="83"/>
      <c r="G393" s="83"/>
      <c r="H393" s="84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14.25" customHeight="1">
      <c r="A394" s="90"/>
      <c r="B394" s="83"/>
      <c r="C394" s="83"/>
      <c r="D394" s="83"/>
      <c r="E394" s="83"/>
      <c r="F394" s="83"/>
      <c r="G394" s="83"/>
      <c r="H394" s="84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14.25" customHeight="1">
      <c r="A395" s="90"/>
      <c r="B395" s="83"/>
      <c r="C395" s="83"/>
      <c r="D395" s="83"/>
      <c r="E395" s="83"/>
      <c r="F395" s="83"/>
      <c r="G395" s="83"/>
      <c r="H395" s="84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14.25" customHeight="1">
      <c r="A396" s="90"/>
      <c r="B396" s="83"/>
      <c r="C396" s="83"/>
      <c r="D396" s="83"/>
      <c r="E396" s="83"/>
      <c r="F396" s="83"/>
      <c r="G396" s="83"/>
      <c r="H396" s="84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14.25" customHeight="1">
      <c r="A397" s="90"/>
      <c r="B397" s="83"/>
      <c r="C397" s="83"/>
      <c r="D397" s="83"/>
      <c r="E397" s="83"/>
      <c r="F397" s="83"/>
      <c r="G397" s="83"/>
      <c r="H397" s="84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14.25" customHeight="1">
      <c r="A398" s="90"/>
      <c r="B398" s="83"/>
      <c r="C398" s="83"/>
      <c r="D398" s="83"/>
      <c r="E398" s="83"/>
      <c r="F398" s="83"/>
      <c r="G398" s="83"/>
      <c r="H398" s="84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14.25" customHeight="1">
      <c r="A399" s="90"/>
      <c r="B399" s="83"/>
      <c r="C399" s="83"/>
      <c r="D399" s="83"/>
      <c r="E399" s="83"/>
      <c r="F399" s="83"/>
      <c r="G399" s="83"/>
      <c r="H399" s="84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14.25" customHeight="1">
      <c r="A400" s="90"/>
      <c r="B400" s="83"/>
      <c r="C400" s="83"/>
      <c r="D400" s="83"/>
      <c r="E400" s="83"/>
      <c r="F400" s="83"/>
      <c r="G400" s="83"/>
      <c r="H400" s="84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14.25" customHeight="1">
      <c r="A401" s="90"/>
      <c r="B401" s="83"/>
      <c r="C401" s="83"/>
      <c r="D401" s="83"/>
      <c r="E401" s="83"/>
      <c r="F401" s="83"/>
      <c r="G401" s="83"/>
      <c r="H401" s="84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14.25" customHeight="1">
      <c r="A402" s="90"/>
      <c r="B402" s="83"/>
      <c r="C402" s="83"/>
      <c r="D402" s="83"/>
      <c r="E402" s="83"/>
      <c r="F402" s="83"/>
      <c r="G402" s="83"/>
      <c r="H402" s="84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14.25" customHeight="1">
      <c r="A403" s="90"/>
      <c r="B403" s="83"/>
      <c r="C403" s="83"/>
      <c r="D403" s="83"/>
      <c r="E403" s="83"/>
      <c r="F403" s="83"/>
      <c r="G403" s="83"/>
      <c r="H403" s="84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14.25" customHeight="1">
      <c r="A404" s="90"/>
      <c r="B404" s="83"/>
      <c r="C404" s="83"/>
      <c r="D404" s="83"/>
      <c r="E404" s="83"/>
      <c r="F404" s="83"/>
      <c r="G404" s="83"/>
      <c r="H404" s="84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14.25" customHeight="1">
      <c r="A405" s="90"/>
      <c r="B405" s="83"/>
      <c r="C405" s="83"/>
      <c r="D405" s="83"/>
      <c r="E405" s="83"/>
      <c r="F405" s="83"/>
      <c r="G405" s="83"/>
      <c r="H405" s="84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14.25" customHeight="1">
      <c r="A406" s="90"/>
      <c r="B406" s="83"/>
      <c r="C406" s="83"/>
      <c r="D406" s="83"/>
      <c r="E406" s="83"/>
      <c r="F406" s="83"/>
      <c r="G406" s="83"/>
      <c r="H406" s="84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14.25" customHeight="1">
      <c r="A407" s="90"/>
      <c r="B407" s="83"/>
      <c r="C407" s="83"/>
      <c r="D407" s="83"/>
      <c r="E407" s="83"/>
      <c r="F407" s="83"/>
      <c r="G407" s="83"/>
      <c r="H407" s="84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14.25" customHeight="1">
      <c r="A408" s="90"/>
      <c r="B408" s="83"/>
      <c r="C408" s="83"/>
      <c r="D408" s="83"/>
      <c r="E408" s="83"/>
      <c r="F408" s="83"/>
      <c r="G408" s="83"/>
      <c r="H408" s="84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14.25" customHeight="1">
      <c r="A409" s="90"/>
      <c r="B409" s="83"/>
      <c r="C409" s="83"/>
      <c r="D409" s="83"/>
      <c r="E409" s="83"/>
      <c r="F409" s="83"/>
      <c r="G409" s="83"/>
      <c r="H409" s="84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14.25" customHeight="1">
      <c r="A410" s="90"/>
      <c r="B410" s="83"/>
      <c r="C410" s="83"/>
      <c r="D410" s="83"/>
      <c r="E410" s="83"/>
      <c r="F410" s="83"/>
      <c r="G410" s="83"/>
      <c r="H410" s="84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ht="14.25" customHeight="1">
      <c r="A411" s="90"/>
      <c r="B411" s="83"/>
      <c r="C411" s="83"/>
      <c r="D411" s="83"/>
      <c r="E411" s="83"/>
      <c r="F411" s="83"/>
      <c r="G411" s="83"/>
      <c r="H411" s="84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ht="14.25" customHeight="1">
      <c r="A412" s="90"/>
      <c r="B412" s="83"/>
      <c r="C412" s="83"/>
      <c r="D412" s="83"/>
      <c r="E412" s="83"/>
      <c r="F412" s="83"/>
      <c r="G412" s="83"/>
      <c r="H412" s="84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ht="14.25" customHeight="1">
      <c r="A413" s="90"/>
      <c r="B413" s="83"/>
      <c r="C413" s="83"/>
      <c r="D413" s="83"/>
      <c r="E413" s="83"/>
      <c r="F413" s="83"/>
      <c r="G413" s="83"/>
      <c r="H413" s="84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ht="14.25" customHeight="1">
      <c r="A414" s="90"/>
      <c r="B414" s="83"/>
      <c r="C414" s="83"/>
      <c r="D414" s="83"/>
      <c r="E414" s="83"/>
      <c r="F414" s="83"/>
      <c r="G414" s="83"/>
      <c r="H414" s="84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14.25" customHeight="1">
      <c r="A415" s="90"/>
      <c r="B415" s="83"/>
      <c r="C415" s="83"/>
      <c r="D415" s="83"/>
      <c r="E415" s="83"/>
      <c r="F415" s="83"/>
      <c r="G415" s="83"/>
      <c r="H415" s="84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ht="14.25" customHeight="1">
      <c r="A416" s="90"/>
      <c r="B416" s="83"/>
      <c r="C416" s="83"/>
      <c r="D416" s="83"/>
      <c r="E416" s="83"/>
      <c r="F416" s="83"/>
      <c r="G416" s="83"/>
      <c r="H416" s="84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ht="14.25" customHeight="1">
      <c r="A417" s="90"/>
      <c r="B417" s="83"/>
      <c r="C417" s="83"/>
      <c r="D417" s="83"/>
      <c r="E417" s="83"/>
      <c r="F417" s="83"/>
      <c r="G417" s="83"/>
      <c r="H417" s="84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14.25" customHeight="1">
      <c r="A418" s="90"/>
      <c r="B418" s="83"/>
      <c r="C418" s="83"/>
      <c r="D418" s="83"/>
      <c r="E418" s="83"/>
      <c r="F418" s="83"/>
      <c r="G418" s="83"/>
      <c r="H418" s="84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ht="14.25" customHeight="1">
      <c r="A419" s="90"/>
      <c r="B419" s="83"/>
      <c r="C419" s="83"/>
      <c r="D419" s="83"/>
      <c r="E419" s="83"/>
      <c r="F419" s="83"/>
      <c r="G419" s="83"/>
      <c r="H419" s="84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ht="14.25" customHeight="1">
      <c r="A420" s="90"/>
      <c r="B420" s="83"/>
      <c r="C420" s="83"/>
      <c r="D420" s="83"/>
      <c r="E420" s="83"/>
      <c r="F420" s="83"/>
      <c r="G420" s="83"/>
      <c r="H420" s="84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ht="14.25" customHeight="1">
      <c r="A421" s="90"/>
      <c r="B421" s="83"/>
      <c r="C421" s="83"/>
      <c r="D421" s="83"/>
      <c r="E421" s="83"/>
      <c r="F421" s="83"/>
      <c r="G421" s="83"/>
      <c r="H421" s="84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ht="14.25" customHeight="1">
      <c r="A422" s="90"/>
      <c r="B422" s="83"/>
      <c r="C422" s="83"/>
      <c r="D422" s="83"/>
      <c r="E422" s="83"/>
      <c r="F422" s="83"/>
      <c r="G422" s="83"/>
      <c r="H422" s="84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14.25" customHeight="1">
      <c r="A423" s="90"/>
      <c r="B423" s="83"/>
      <c r="C423" s="83"/>
      <c r="D423" s="83"/>
      <c r="E423" s="83"/>
      <c r="F423" s="83"/>
      <c r="G423" s="83"/>
      <c r="H423" s="84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14.25" customHeight="1">
      <c r="A424" s="90"/>
      <c r="B424" s="83"/>
      <c r="C424" s="83"/>
      <c r="D424" s="83"/>
      <c r="E424" s="83"/>
      <c r="F424" s="83"/>
      <c r="G424" s="83"/>
      <c r="H424" s="84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ht="14.25" customHeight="1">
      <c r="A425" s="90"/>
      <c r="B425" s="83"/>
      <c r="C425" s="83"/>
      <c r="D425" s="83"/>
      <c r="E425" s="83"/>
      <c r="F425" s="83"/>
      <c r="G425" s="83"/>
      <c r="H425" s="84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14.25" customHeight="1">
      <c r="A426" s="90"/>
      <c r="B426" s="83"/>
      <c r="C426" s="83"/>
      <c r="D426" s="83"/>
      <c r="E426" s="83"/>
      <c r="F426" s="83"/>
      <c r="G426" s="83"/>
      <c r="H426" s="84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ht="14.25" customHeight="1">
      <c r="A427" s="90"/>
      <c r="B427" s="83"/>
      <c r="C427" s="83"/>
      <c r="D427" s="83"/>
      <c r="E427" s="83"/>
      <c r="F427" s="83"/>
      <c r="G427" s="83"/>
      <c r="H427" s="84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ht="14.25" customHeight="1">
      <c r="A428" s="90"/>
      <c r="B428" s="83"/>
      <c r="C428" s="83"/>
      <c r="D428" s="83"/>
      <c r="E428" s="83"/>
      <c r="F428" s="83"/>
      <c r="G428" s="83"/>
      <c r="H428" s="84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ht="14.25" customHeight="1">
      <c r="A429" s="90"/>
      <c r="B429" s="83"/>
      <c r="C429" s="83"/>
      <c r="D429" s="83"/>
      <c r="E429" s="83"/>
      <c r="F429" s="83"/>
      <c r="G429" s="83"/>
      <c r="H429" s="84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14.25" customHeight="1">
      <c r="A430" s="90"/>
      <c r="B430" s="83"/>
      <c r="C430" s="83"/>
      <c r="D430" s="83"/>
      <c r="E430" s="83"/>
      <c r="F430" s="83"/>
      <c r="G430" s="83"/>
      <c r="H430" s="84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14.25" customHeight="1">
      <c r="A431" s="90"/>
      <c r="B431" s="83"/>
      <c r="C431" s="83"/>
      <c r="D431" s="83"/>
      <c r="E431" s="83"/>
      <c r="F431" s="83"/>
      <c r="G431" s="83"/>
      <c r="H431" s="84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14.25" customHeight="1">
      <c r="A432" s="90"/>
      <c r="B432" s="83"/>
      <c r="C432" s="83"/>
      <c r="D432" s="83"/>
      <c r="E432" s="83"/>
      <c r="F432" s="83"/>
      <c r="G432" s="83"/>
      <c r="H432" s="84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ht="14.25" customHeight="1">
      <c r="A433" s="90"/>
      <c r="B433" s="83"/>
      <c r="C433" s="83"/>
      <c r="D433" s="83"/>
      <c r="E433" s="83"/>
      <c r="F433" s="83"/>
      <c r="G433" s="83"/>
      <c r="H433" s="84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14.25" customHeight="1">
      <c r="A434" s="90"/>
      <c r="B434" s="83"/>
      <c r="C434" s="83"/>
      <c r="D434" s="83"/>
      <c r="E434" s="83"/>
      <c r="F434" s="83"/>
      <c r="G434" s="83"/>
      <c r="H434" s="84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ht="14.25" customHeight="1">
      <c r="A435" s="90"/>
      <c r="B435" s="83"/>
      <c r="C435" s="83"/>
      <c r="D435" s="83"/>
      <c r="E435" s="83"/>
      <c r="F435" s="83"/>
      <c r="G435" s="83"/>
      <c r="H435" s="84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ht="14.25" customHeight="1">
      <c r="A436" s="90"/>
      <c r="B436" s="83"/>
      <c r="C436" s="83"/>
      <c r="D436" s="83"/>
      <c r="E436" s="83"/>
      <c r="F436" s="83"/>
      <c r="G436" s="83"/>
      <c r="H436" s="84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ht="14.25" customHeight="1">
      <c r="A437" s="90"/>
      <c r="B437" s="83"/>
      <c r="C437" s="83"/>
      <c r="D437" s="83"/>
      <c r="E437" s="83"/>
      <c r="F437" s="83"/>
      <c r="G437" s="83"/>
      <c r="H437" s="84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14.25" customHeight="1">
      <c r="A438" s="90"/>
      <c r="B438" s="83"/>
      <c r="C438" s="83"/>
      <c r="D438" s="83"/>
      <c r="E438" s="83"/>
      <c r="F438" s="83"/>
      <c r="G438" s="83"/>
      <c r="H438" s="84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14.25" customHeight="1">
      <c r="A439" s="90"/>
      <c r="B439" s="83"/>
      <c r="C439" s="83"/>
      <c r="D439" s="83"/>
      <c r="E439" s="83"/>
      <c r="F439" s="83"/>
      <c r="G439" s="83"/>
      <c r="H439" s="84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14.25" customHeight="1">
      <c r="A440" s="90"/>
      <c r="B440" s="83"/>
      <c r="C440" s="83"/>
      <c r="D440" s="83"/>
      <c r="E440" s="83"/>
      <c r="F440" s="83"/>
      <c r="G440" s="83"/>
      <c r="H440" s="84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ht="14.25" customHeight="1">
      <c r="A441" s="90"/>
      <c r="B441" s="83"/>
      <c r="C441" s="83"/>
      <c r="D441" s="83"/>
      <c r="E441" s="83"/>
      <c r="F441" s="83"/>
      <c r="G441" s="83"/>
      <c r="H441" s="84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14.25" customHeight="1">
      <c r="A442" s="90"/>
      <c r="B442" s="83"/>
      <c r="C442" s="83"/>
      <c r="D442" s="83"/>
      <c r="E442" s="83"/>
      <c r="F442" s="83"/>
      <c r="G442" s="83"/>
      <c r="H442" s="84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ht="14.25" customHeight="1">
      <c r="A443" s="90"/>
      <c r="B443" s="83"/>
      <c r="C443" s="83"/>
      <c r="D443" s="83"/>
      <c r="E443" s="83"/>
      <c r="F443" s="83"/>
      <c r="G443" s="83"/>
      <c r="H443" s="84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ht="14.25" customHeight="1">
      <c r="A444" s="90"/>
      <c r="B444" s="83"/>
      <c r="C444" s="83"/>
      <c r="D444" s="83"/>
      <c r="E444" s="83"/>
      <c r="F444" s="83"/>
      <c r="G444" s="83"/>
      <c r="H444" s="84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ht="14.25" customHeight="1">
      <c r="A445" s="90"/>
      <c r="B445" s="83"/>
      <c r="C445" s="83"/>
      <c r="D445" s="83"/>
      <c r="E445" s="83"/>
      <c r="F445" s="83"/>
      <c r="G445" s="83"/>
      <c r="H445" s="84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ht="14.25" customHeight="1">
      <c r="A446" s="90"/>
      <c r="B446" s="83"/>
      <c r="C446" s="83"/>
      <c r="D446" s="83"/>
      <c r="E446" s="83"/>
      <c r="F446" s="83"/>
      <c r="G446" s="83"/>
      <c r="H446" s="84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14.25" customHeight="1">
      <c r="A447" s="90"/>
      <c r="B447" s="83"/>
      <c r="C447" s="83"/>
      <c r="D447" s="83"/>
      <c r="E447" s="83"/>
      <c r="F447" s="83"/>
      <c r="G447" s="83"/>
      <c r="H447" s="84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14.25" customHeight="1">
      <c r="A448" s="90"/>
      <c r="B448" s="83"/>
      <c r="C448" s="83"/>
      <c r="D448" s="83"/>
      <c r="E448" s="83"/>
      <c r="F448" s="83"/>
      <c r="G448" s="83"/>
      <c r="H448" s="84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ht="14.25" customHeight="1">
      <c r="A449" s="90"/>
      <c r="B449" s="83"/>
      <c r="C449" s="83"/>
      <c r="D449" s="83"/>
      <c r="E449" s="83"/>
      <c r="F449" s="83"/>
      <c r="G449" s="83"/>
      <c r="H449" s="84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14.25" customHeight="1">
      <c r="A450" s="90"/>
      <c r="B450" s="83"/>
      <c r="C450" s="83"/>
      <c r="D450" s="83"/>
      <c r="E450" s="83"/>
      <c r="F450" s="83"/>
      <c r="G450" s="83"/>
      <c r="H450" s="84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ht="14.25" customHeight="1">
      <c r="A451" s="90"/>
      <c r="B451" s="83"/>
      <c r="C451" s="83"/>
      <c r="D451" s="83"/>
      <c r="E451" s="83"/>
      <c r="F451" s="83"/>
      <c r="G451" s="83"/>
      <c r="H451" s="84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ht="14.25" customHeight="1">
      <c r="A452" s="90"/>
      <c r="B452" s="83"/>
      <c r="C452" s="83"/>
      <c r="D452" s="83"/>
      <c r="E452" s="83"/>
      <c r="F452" s="83"/>
      <c r="G452" s="83"/>
      <c r="H452" s="84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ht="14.25" customHeight="1">
      <c r="A453" s="90"/>
      <c r="B453" s="83"/>
      <c r="C453" s="83"/>
      <c r="D453" s="83"/>
      <c r="E453" s="83"/>
      <c r="F453" s="83"/>
      <c r="G453" s="83"/>
      <c r="H453" s="84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ht="14.25" customHeight="1">
      <c r="A454" s="90"/>
      <c r="B454" s="83"/>
      <c r="C454" s="83"/>
      <c r="D454" s="83"/>
      <c r="E454" s="83"/>
      <c r="F454" s="83"/>
      <c r="G454" s="83"/>
      <c r="H454" s="84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14.25" customHeight="1">
      <c r="A455" s="90"/>
      <c r="B455" s="83"/>
      <c r="C455" s="83"/>
      <c r="D455" s="83"/>
      <c r="E455" s="83"/>
      <c r="F455" s="83"/>
      <c r="G455" s="83"/>
      <c r="H455" s="84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14.25" customHeight="1">
      <c r="A456" s="90"/>
      <c r="B456" s="83"/>
      <c r="C456" s="83"/>
      <c r="D456" s="83"/>
      <c r="E456" s="83"/>
      <c r="F456" s="83"/>
      <c r="G456" s="83"/>
      <c r="H456" s="84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ht="14.25" customHeight="1">
      <c r="A457" s="90"/>
      <c r="B457" s="83"/>
      <c r="C457" s="83"/>
      <c r="D457" s="83"/>
      <c r="E457" s="83"/>
      <c r="F457" s="83"/>
      <c r="G457" s="83"/>
      <c r="H457" s="84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14.25" customHeight="1">
      <c r="A458" s="90"/>
      <c r="B458" s="83"/>
      <c r="C458" s="83"/>
      <c r="D458" s="83"/>
      <c r="E458" s="83"/>
      <c r="F458" s="83"/>
      <c r="G458" s="83"/>
      <c r="H458" s="84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ht="14.25" customHeight="1">
      <c r="A459" s="90"/>
      <c r="B459" s="83"/>
      <c r="C459" s="83"/>
      <c r="D459" s="83"/>
      <c r="E459" s="83"/>
      <c r="F459" s="83"/>
      <c r="G459" s="83"/>
      <c r="H459" s="84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ht="14.25" customHeight="1">
      <c r="A460" s="90"/>
      <c r="B460" s="83"/>
      <c r="C460" s="83"/>
      <c r="D460" s="83"/>
      <c r="E460" s="83"/>
      <c r="F460" s="83"/>
      <c r="G460" s="83"/>
      <c r="H460" s="84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ht="14.25" customHeight="1">
      <c r="A461" s="90"/>
      <c r="B461" s="83"/>
      <c r="C461" s="83"/>
      <c r="D461" s="83"/>
      <c r="E461" s="83"/>
      <c r="F461" s="83"/>
      <c r="G461" s="83"/>
      <c r="H461" s="84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ht="14.25" customHeight="1">
      <c r="A462" s="90"/>
      <c r="B462" s="83"/>
      <c r="C462" s="83"/>
      <c r="D462" s="83"/>
      <c r="E462" s="83"/>
      <c r="F462" s="83"/>
      <c r="G462" s="83"/>
      <c r="H462" s="84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14.25" customHeight="1">
      <c r="A463" s="90"/>
      <c r="B463" s="83"/>
      <c r="C463" s="83"/>
      <c r="D463" s="83"/>
      <c r="E463" s="83"/>
      <c r="F463" s="83"/>
      <c r="G463" s="83"/>
      <c r="H463" s="84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14.25" customHeight="1">
      <c r="A464" s="90"/>
      <c r="B464" s="83"/>
      <c r="C464" s="83"/>
      <c r="D464" s="83"/>
      <c r="E464" s="83"/>
      <c r="F464" s="83"/>
      <c r="G464" s="83"/>
      <c r="H464" s="84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ht="14.25" customHeight="1">
      <c r="A465" s="90"/>
      <c r="B465" s="83"/>
      <c r="C465" s="83"/>
      <c r="D465" s="83"/>
      <c r="E465" s="83"/>
      <c r="F465" s="83"/>
      <c r="G465" s="83"/>
      <c r="H465" s="84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14.25" customHeight="1">
      <c r="A466" s="90"/>
      <c r="B466" s="83"/>
      <c r="C466" s="83"/>
      <c r="D466" s="83"/>
      <c r="E466" s="83"/>
      <c r="F466" s="83"/>
      <c r="G466" s="83"/>
      <c r="H466" s="84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ht="14.25" customHeight="1">
      <c r="A467" s="90"/>
      <c r="B467" s="83"/>
      <c r="C467" s="83"/>
      <c r="D467" s="83"/>
      <c r="E467" s="83"/>
      <c r="F467" s="83"/>
      <c r="G467" s="83"/>
      <c r="H467" s="84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ht="14.25" customHeight="1">
      <c r="A468" s="90"/>
      <c r="B468" s="83"/>
      <c r="C468" s="83"/>
      <c r="D468" s="83"/>
      <c r="E468" s="83"/>
      <c r="F468" s="83"/>
      <c r="G468" s="83"/>
      <c r="H468" s="84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ht="14.25" customHeight="1">
      <c r="A469" s="90"/>
      <c r="B469" s="83"/>
      <c r="C469" s="83"/>
      <c r="D469" s="83"/>
      <c r="E469" s="83"/>
      <c r="F469" s="83"/>
      <c r="G469" s="83"/>
      <c r="H469" s="84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ht="14.25" customHeight="1">
      <c r="A470" s="90"/>
      <c r="B470" s="83"/>
      <c r="C470" s="83"/>
      <c r="D470" s="83"/>
      <c r="E470" s="83"/>
      <c r="F470" s="83"/>
      <c r="G470" s="83"/>
      <c r="H470" s="84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14.25" customHeight="1">
      <c r="A471" s="90"/>
      <c r="B471" s="83"/>
      <c r="C471" s="83"/>
      <c r="D471" s="83"/>
      <c r="E471" s="83"/>
      <c r="F471" s="83"/>
      <c r="G471" s="83"/>
      <c r="H471" s="84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14.25" customHeight="1">
      <c r="A472" s="90"/>
      <c r="B472" s="83"/>
      <c r="C472" s="83"/>
      <c r="D472" s="83"/>
      <c r="E472" s="83"/>
      <c r="F472" s="83"/>
      <c r="G472" s="83"/>
      <c r="H472" s="84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ht="14.25" customHeight="1">
      <c r="A473" s="90"/>
      <c r="B473" s="83"/>
      <c r="C473" s="83"/>
      <c r="D473" s="83"/>
      <c r="E473" s="83"/>
      <c r="F473" s="83"/>
      <c r="G473" s="83"/>
      <c r="H473" s="84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14.25" customHeight="1">
      <c r="A474" s="90"/>
      <c r="B474" s="83"/>
      <c r="C474" s="83"/>
      <c r="D474" s="83"/>
      <c r="E474" s="83"/>
      <c r="F474" s="83"/>
      <c r="G474" s="83"/>
      <c r="H474" s="84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ht="14.25" customHeight="1">
      <c r="A475" s="90"/>
      <c r="B475" s="83"/>
      <c r="C475" s="83"/>
      <c r="D475" s="83"/>
      <c r="E475" s="83"/>
      <c r="F475" s="83"/>
      <c r="G475" s="83"/>
      <c r="H475" s="84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ht="14.25" customHeight="1">
      <c r="A476" s="90"/>
      <c r="B476" s="83"/>
      <c r="C476" s="83"/>
      <c r="D476" s="83"/>
      <c r="E476" s="83"/>
      <c r="F476" s="83"/>
      <c r="G476" s="83"/>
      <c r="H476" s="84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ht="14.25" customHeight="1">
      <c r="A477" s="90"/>
      <c r="B477" s="83"/>
      <c r="C477" s="83"/>
      <c r="D477" s="83"/>
      <c r="E477" s="83"/>
      <c r="F477" s="83"/>
      <c r="G477" s="83"/>
      <c r="H477" s="84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14.25" customHeight="1">
      <c r="A478" s="90"/>
      <c r="B478" s="83"/>
      <c r="C478" s="83"/>
      <c r="D478" s="83"/>
      <c r="E478" s="83"/>
      <c r="F478" s="83"/>
      <c r="G478" s="83"/>
      <c r="H478" s="84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14.25" customHeight="1">
      <c r="A479" s="90"/>
      <c r="B479" s="83"/>
      <c r="C479" s="83"/>
      <c r="D479" s="83"/>
      <c r="E479" s="83"/>
      <c r="F479" s="83"/>
      <c r="G479" s="83"/>
      <c r="H479" s="84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14.25" customHeight="1">
      <c r="A480" s="90"/>
      <c r="B480" s="83"/>
      <c r="C480" s="83"/>
      <c r="D480" s="83"/>
      <c r="E480" s="83"/>
      <c r="F480" s="83"/>
      <c r="G480" s="83"/>
      <c r="H480" s="84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ht="14.25" customHeight="1">
      <c r="A481" s="90"/>
      <c r="B481" s="83"/>
      <c r="C481" s="83"/>
      <c r="D481" s="83"/>
      <c r="E481" s="83"/>
      <c r="F481" s="83"/>
      <c r="G481" s="83"/>
      <c r="H481" s="84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14.25" customHeight="1">
      <c r="A482" s="90"/>
      <c r="B482" s="83"/>
      <c r="C482" s="83"/>
      <c r="D482" s="83"/>
      <c r="E482" s="83"/>
      <c r="F482" s="83"/>
      <c r="G482" s="83"/>
      <c r="H482" s="84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ht="14.25" customHeight="1">
      <c r="A483" s="90"/>
      <c r="B483" s="83"/>
      <c r="C483" s="83"/>
      <c r="D483" s="83"/>
      <c r="E483" s="83"/>
      <c r="F483" s="83"/>
      <c r="G483" s="83"/>
      <c r="H483" s="84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ht="14.25" customHeight="1">
      <c r="A484" s="90"/>
      <c r="B484" s="83"/>
      <c r="C484" s="83"/>
      <c r="D484" s="83"/>
      <c r="E484" s="83"/>
      <c r="F484" s="83"/>
      <c r="G484" s="83"/>
      <c r="H484" s="84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ht="14.25" customHeight="1">
      <c r="A485" s="90"/>
      <c r="B485" s="83"/>
      <c r="C485" s="83"/>
      <c r="D485" s="83"/>
      <c r="E485" s="83"/>
      <c r="F485" s="83"/>
      <c r="G485" s="83"/>
      <c r="H485" s="84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ht="14.25" customHeight="1">
      <c r="A486" s="90"/>
      <c r="B486" s="83"/>
      <c r="C486" s="83"/>
      <c r="D486" s="83"/>
      <c r="E486" s="83"/>
      <c r="F486" s="83"/>
      <c r="G486" s="83"/>
      <c r="H486" s="84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14.25" customHeight="1">
      <c r="A487" s="90"/>
      <c r="B487" s="83"/>
      <c r="C487" s="83"/>
      <c r="D487" s="83"/>
      <c r="E487" s="83"/>
      <c r="F487" s="83"/>
      <c r="G487" s="83"/>
      <c r="H487" s="84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14.25" customHeight="1">
      <c r="A488" s="90"/>
      <c r="B488" s="83"/>
      <c r="C488" s="83"/>
      <c r="D488" s="83"/>
      <c r="E488" s="83"/>
      <c r="F488" s="83"/>
      <c r="G488" s="83"/>
      <c r="H488" s="84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ht="14.25" customHeight="1">
      <c r="A489" s="90"/>
      <c r="B489" s="83"/>
      <c r="C489" s="83"/>
      <c r="D489" s="83"/>
      <c r="E489" s="83"/>
      <c r="F489" s="83"/>
      <c r="G489" s="83"/>
      <c r="H489" s="84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14.25" customHeight="1">
      <c r="A490" s="90"/>
      <c r="B490" s="83"/>
      <c r="C490" s="83"/>
      <c r="D490" s="83"/>
      <c r="E490" s="83"/>
      <c r="F490" s="83"/>
      <c r="G490" s="83"/>
      <c r="H490" s="84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ht="14.25" customHeight="1">
      <c r="A491" s="90"/>
      <c r="B491" s="83"/>
      <c r="C491" s="83"/>
      <c r="D491" s="83"/>
      <c r="E491" s="83"/>
      <c r="F491" s="83"/>
      <c r="G491" s="83"/>
      <c r="H491" s="84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14.25" customHeight="1">
      <c r="A492" s="90"/>
      <c r="B492" s="83"/>
      <c r="C492" s="83"/>
      <c r="D492" s="83"/>
      <c r="E492" s="83"/>
      <c r="F492" s="83"/>
      <c r="G492" s="83"/>
      <c r="H492" s="84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ht="14.25" customHeight="1">
      <c r="A493" s="90"/>
      <c r="B493" s="83"/>
      <c r="C493" s="83"/>
      <c r="D493" s="83"/>
      <c r="E493" s="83"/>
      <c r="F493" s="83"/>
      <c r="G493" s="83"/>
      <c r="H493" s="84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ht="14.25" customHeight="1">
      <c r="A494" s="90"/>
      <c r="B494" s="83"/>
      <c r="C494" s="83"/>
      <c r="D494" s="83"/>
      <c r="E494" s="83"/>
      <c r="F494" s="83"/>
      <c r="G494" s="83"/>
      <c r="H494" s="84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14.25" customHeight="1">
      <c r="A495" s="90"/>
      <c r="B495" s="83"/>
      <c r="C495" s="83"/>
      <c r="D495" s="83"/>
      <c r="E495" s="83"/>
      <c r="F495" s="83"/>
      <c r="G495" s="83"/>
      <c r="H495" s="84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14.25" customHeight="1">
      <c r="A496" s="90"/>
      <c r="B496" s="83"/>
      <c r="C496" s="83"/>
      <c r="D496" s="83"/>
      <c r="E496" s="83"/>
      <c r="F496" s="83"/>
      <c r="G496" s="83"/>
      <c r="H496" s="84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ht="14.25" customHeight="1">
      <c r="A497" s="90"/>
      <c r="B497" s="83"/>
      <c r="C497" s="83"/>
      <c r="D497" s="83"/>
      <c r="E497" s="83"/>
      <c r="F497" s="83"/>
      <c r="G497" s="83"/>
      <c r="H497" s="84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14.25" customHeight="1">
      <c r="A498" s="90"/>
      <c r="B498" s="83"/>
      <c r="C498" s="83"/>
      <c r="D498" s="83"/>
      <c r="E498" s="83"/>
      <c r="F498" s="83"/>
      <c r="G498" s="83"/>
      <c r="H498" s="84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ht="14.25" customHeight="1">
      <c r="A499" s="90"/>
      <c r="B499" s="83"/>
      <c r="C499" s="83"/>
      <c r="D499" s="83"/>
      <c r="E499" s="83"/>
      <c r="F499" s="83"/>
      <c r="G499" s="83"/>
      <c r="H499" s="84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14.25" customHeight="1">
      <c r="A500" s="90"/>
      <c r="B500" s="83"/>
      <c r="C500" s="83"/>
      <c r="D500" s="83"/>
      <c r="E500" s="83"/>
      <c r="F500" s="83"/>
      <c r="G500" s="83"/>
      <c r="H500" s="84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ht="14.25" customHeight="1">
      <c r="A501" s="90"/>
      <c r="B501" s="83"/>
      <c r="C501" s="83"/>
      <c r="D501" s="83"/>
      <c r="E501" s="83"/>
      <c r="F501" s="83"/>
      <c r="G501" s="83"/>
      <c r="H501" s="84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ht="14.25" customHeight="1">
      <c r="A502" s="90"/>
      <c r="B502" s="83"/>
      <c r="C502" s="83"/>
      <c r="D502" s="83"/>
      <c r="E502" s="83"/>
      <c r="F502" s="83"/>
      <c r="G502" s="83"/>
      <c r="H502" s="84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14.25" customHeight="1">
      <c r="A503" s="90"/>
      <c r="B503" s="83"/>
      <c r="C503" s="83"/>
      <c r="D503" s="83"/>
      <c r="E503" s="83"/>
      <c r="F503" s="83"/>
      <c r="G503" s="83"/>
      <c r="H503" s="84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14.25" customHeight="1">
      <c r="A504" s="90"/>
      <c r="B504" s="83"/>
      <c r="C504" s="83"/>
      <c r="D504" s="83"/>
      <c r="E504" s="83"/>
      <c r="F504" s="83"/>
      <c r="G504" s="83"/>
      <c r="H504" s="84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ht="14.25" customHeight="1">
      <c r="A505" s="90"/>
      <c r="B505" s="83"/>
      <c r="C505" s="83"/>
      <c r="D505" s="83"/>
      <c r="E505" s="83"/>
      <c r="F505" s="83"/>
      <c r="G505" s="83"/>
      <c r="H505" s="84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14.25" customHeight="1">
      <c r="A506" s="90"/>
      <c r="B506" s="83"/>
      <c r="C506" s="83"/>
      <c r="D506" s="83"/>
      <c r="E506" s="83"/>
      <c r="F506" s="83"/>
      <c r="G506" s="83"/>
      <c r="H506" s="84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ht="14.25" customHeight="1">
      <c r="A507" s="90"/>
      <c r="B507" s="83"/>
      <c r="C507" s="83"/>
      <c r="D507" s="83"/>
      <c r="E507" s="83"/>
      <c r="F507" s="83"/>
      <c r="G507" s="83"/>
      <c r="H507" s="84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14.25" customHeight="1">
      <c r="A508" s="90"/>
      <c r="B508" s="83"/>
      <c r="C508" s="83"/>
      <c r="D508" s="83"/>
      <c r="E508" s="83"/>
      <c r="F508" s="83"/>
      <c r="G508" s="83"/>
      <c r="H508" s="84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ht="14.25" customHeight="1">
      <c r="A509" s="90"/>
      <c r="B509" s="83"/>
      <c r="C509" s="83"/>
      <c r="D509" s="83"/>
      <c r="E509" s="83"/>
      <c r="F509" s="83"/>
      <c r="G509" s="83"/>
      <c r="H509" s="84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14.25" customHeight="1">
      <c r="A510" s="90"/>
      <c r="B510" s="83"/>
      <c r="C510" s="83"/>
      <c r="D510" s="83"/>
      <c r="E510" s="83"/>
      <c r="F510" s="83"/>
      <c r="G510" s="83"/>
      <c r="H510" s="84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14.25" customHeight="1">
      <c r="A511" s="90"/>
      <c r="B511" s="83"/>
      <c r="C511" s="83"/>
      <c r="D511" s="83"/>
      <c r="E511" s="83"/>
      <c r="F511" s="83"/>
      <c r="G511" s="83"/>
      <c r="H511" s="84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ht="14.25" customHeight="1">
      <c r="A512" s="90"/>
      <c r="B512" s="83"/>
      <c r="C512" s="83"/>
      <c r="D512" s="83"/>
      <c r="E512" s="83"/>
      <c r="F512" s="83"/>
      <c r="G512" s="83"/>
      <c r="H512" s="84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14.25" customHeight="1">
      <c r="A513" s="90"/>
      <c r="B513" s="83"/>
      <c r="C513" s="83"/>
      <c r="D513" s="83"/>
      <c r="E513" s="83"/>
      <c r="F513" s="83"/>
      <c r="G513" s="83"/>
      <c r="H513" s="84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14.25" customHeight="1">
      <c r="A514" s="90"/>
      <c r="B514" s="83"/>
      <c r="C514" s="83"/>
      <c r="D514" s="83"/>
      <c r="E514" s="83"/>
      <c r="F514" s="83"/>
      <c r="G514" s="83"/>
      <c r="H514" s="84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ht="14.25" customHeight="1">
      <c r="A515" s="90"/>
      <c r="B515" s="83"/>
      <c r="C515" s="83"/>
      <c r="D515" s="83"/>
      <c r="E515" s="83"/>
      <c r="F515" s="83"/>
      <c r="G515" s="83"/>
      <c r="H515" s="84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14.25" customHeight="1">
      <c r="A516" s="90"/>
      <c r="B516" s="83"/>
      <c r="C516" s="83"/>
      <c r="D516" s="83"/>
      <c r="E516" s="83"/>
      <c r="F516" s="83"/>
      <c r="G516" s="83"/>
      <c r="H516" s="84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ht="14.25" customHeight="1">
      <c r="A517" s="90"/>
      <c r="B517" s="83"/>
      <c r="C517" s="83"/>
      <c r="D517" s="83"/>
      <c r="E517" s="83"/>
      <c r="F517" s="83"/>
      <c r="G517" s="83"/>
      <c r="H517" s="84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14.25" customHeight="1">
      <c r="A518" s="90"/>
      <c r="B518" s="83"/>
      <c r="C518" s="83"/>
      <c r="D518" s="83"/>
      <c r="E518" s="83"/>
      <c r="F518" s="83"/>
      <c r="G518" s="83"/>
      <c r="H518" s="84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14.25" customHeight="1">
      <c r="A519" s="90"/>
      <c r="B519" s="83"/>
      <c r="C519" s="83"/>
      <c r="D519" s="83"/>
      <c r="E519" s="83"/>
      <c r="F519" s="83"/>
      <c r="G519" s="83"/>
      <c r="H519" s="84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14.25" customHeight="1">
      <c r="A520" s="90"/>
      <c r="B520" s="83"/>
      <c r="C520" s="83"/>
      <c r="D520" s="83"/>
      <c r="E520" s="83"/>
      <c r="F520" s="83"/>
      <c r="G520" s="83"/>
      <c r="H520" s="84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14.25" customHeight="1">
      <c r="A521" s="90"/>
      <c r="B521" s="83"/>
      <c r="C521" s="83"/>
      <c r="D521" s="83"/>
      <c r="E521" s="83"/>
      <c r="F521" s="83"/>
      <c r="G521" s="83"/>
      <c r="H521" s="84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14.25" customHeight="1">
      <c r="A522" s="90"/>
      <c r="B522" s="83"/>
      <c r="C522" s="83"/>
      <c r="D522" s="83"/>
      <c r="E522" s="83"/>
      <c r="F522" s="83"/>
      <c r="G522" s="83"/>
      <c r="H522" s="84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ht="14.25" customHeight="1">
      <c r="A523" s="90"/>
      <c r="B523" s="83"/>
      <c r="C523" s="83"/>
      <c r="D523" s="83"/>
      <c r="E523" s="83"/>
      <c r="F523" s="83"/>
      <c r="G523" s="83"/>
      <c r="H523" s="84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14.25" customHeight="1">
      <c r="A524" s="90"/>
      <c r="B524" s="83"/>
      <c r="C524" s="83"/>
      <c r="D524" s="83"/>
      <c r="E524" s="83"/>
      <c r="F524" s="83"/>
      <c r="G524" s="83"/>
      <c r="H524" s="84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14.25" customHeight="1">
      <c r="A525" s="90"/>
      <c r="B525" s="83"/>
      <c r="C525" s="83"/>
      <c r="D525" s="83"/>
      <c r="E525" s="83"/>
      <c r="F525" s="83"/>
      <c r="G525" s="83"/>
      <c r="H525" s="84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14.25" customHeight="1">
      <c r="A526" s="90"/>
      <c r="B526" s="83"/>
      <c r="C526" s="83"/>
      <c r="D526" s="83"/>
      <c r="E526" s="83"/>
      <c r="F526" s="83"/>
      <c r="G526" s="83"/>
      <c r="H526" s="84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14.25" customHeight="1">
      <c r="A527" s="90"/>
      <c r="B527" s="83"/>
      <c r="C527" s="83"/>
      <c r="D527" s="83"/>
      <c r="E527" s="83"/>
      <c r="F527" s="83"/>
      <c r="G527" s="83"/>
      <c r="H527" s="84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14.25" customHeight="1">
      <c r="A528" s="90"/>
      <c r="B528" s="83"/>
      <c r="C528" s="83"/>
      <c r="D528" s="83"/>
      <c r="E528" s="83"/>
      <c r="F528" s="83"/>
      <c r="G528" s="83"/>
      <c r="H528" s="84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14.25" customHeight="1">
      <c r="A529" s="90"/>
      <c r="B529" s="83"/>
      <c r="C529" s="83"/>
      <c r="D529" s="83"/>
      <c r="E529" s="83"/>
      <c r="F529" s="83"/>
      <c r="G529" s="83"/>
      <c r="H529" s="84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14.25" customHeight="1">
      <c r="A530" s="90"/>
      <c r="B530" s="83"/>
      <c r="C530" s="83"/>
      <c r="D530" s="83"/>
      <c r="E530" s="83"/>
      <c r="F530" s="83"/>
      <c r="G530" s="83"/>
      <c r="H530" s="84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ht="14.25" customHeight="1">
      <c r="A531" s="90"/>
      <c r="B531" s="83"/>
      <c r="C531" s="83"/>
      <c r="D531" s="83"/>
      <c r="E531" s="83"/>
      <c r="F531" s="83"/>
      <c r="G531" s="83"/>
      <c r="H531" s="84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14.25" customHeight="1">
      <c r="A532" s="90"/>
      <c r="B532" s="83"/>
      <c r="C532" s="83"/>
      <c r="D532" s="83"/>
      <c r="E532" s="83"/>
      <c r="F532" s="83"/>
      <c r="G532" s="83"/>
      <c r="H532" s="84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14.25" customHeight="1">
      <c r="A533" s="90"/>
      <c r="B533" s="83"/>
      <c r="C533" s="83"/>
      <c r="D533" s="83"/>
      <c r="E533" s="83"/>
      <c r="F533" s="83"/>
      <c r="G533" s="83"/>
      <c r="H533" s="84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14.25" customHeight="1">
      <c r="A534" s="90"/>
      <c r="B534" s="83"/>
      <c r="C534" s="83"/>
      <c r="D534" s="83"/>
      <c r="E534" s="83"/>
      <c r="F534" s="83"/>
      <c r="G534" s="83"/>
      <c r="H534" s="84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14.25" customHeight="1">
      <c r="A535" s="90"/>
      <c r="B535" s="83"/>
      <c r="C535" s="83"/>
      <c r="D535" s="83"/>
      <c r="E535" s="83"/>
      <c r="F535" s="83"/>
      <c r="G535" s="83"/>
      <c r="H535" s="84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14.25" customHeight="1">
      <c r="A536" s="90"/>
      <c r="B536" s="83"/>
      <c r="C536" s="83"/>
      <c r="D536" s="83"/>
      <c r="E536" s="83"/>
      <c r="F536" s="83"/>
      <c r="G536" s="83"/>
      <c r="H536" s="84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14.25" customHeight="1">
      <c r="A537" s="90"/>
      <c r="B537" s="83"/>
      <c r="C537" s="83"/>
      <c r="D537" s="83"/>
      <c r="E537" s="83"/>
      <c r="F537" s="83"/>
      <c r="G537" s="83"/>
      <c r="H537" s="84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14.25" customHeight="1">
      <c r="A538" s="90"/>
      <c r="B538" s="83"/>
      <c r="C538" s="83"/>
      <c r="D538" s="83"/>
      <c r="E538" s="83"/>
      <c r="F538" s="83"/>
      <c r="G538" s="83"/>
      <c r="H538" s="84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ht="14.25" customHeight="1">
      <c r="A539" s="90"/>
      <c r="B539" s="83"/>
      <c r="C539" s="83"/>
      <c r="D539" s="83"/>
      <c r="E539" s="83"/>
      <c r="F539" s="83"/>
      <c r="G539" s="83"/>
      <c r="H539" s="84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ht="14.25" customHeight="1">
      <c r="A540" s="90"/>
      <c r="B540" s="83"/>
      <c r="C540" s="83"/>
      <c r="D540" s="83"/>
      <c r="E540" s="83"/>
      <c r="F540" s="83"/>
      <c r="G540" s="83"/>
      <c r="H540" s="84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ht="14.25" customHeight="1">
      <c r="A541" s="90"/>
      <c r="B541" s="83"/>
      <c r="C541" s="83"/>
      <c r="D541" s="83"/>
      <c r="E541" s="83"/>
      <c r="F541" s="83"/>
      <c r="G541" s="83"/>
      <c r="H541" s="84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ht="14.25" customHeight="1">
      <c r="A542" s="90"/>
      <c r="B542" s="83"/>
      <c r="C542" s="83"/>
      <c r="D542" s="83"/>
      <c r="E542" s="83"/>
      <c r="F542" s="83"/>
      <c r="G542" s="83"/>
      <c r="H542" s="84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ht="14.25" customHeight="1">
      <c r="A543" s="90"/>
      <c r="B543" s="83"/>
      <c r="C543" s="83"/>
      <c r="D543" s="83"/>
      <c r="E543" s="83"/>
      <c r="F543" s="83"/>
      <c r="G543" s="83"/>
      <c r="H543" s="84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14.25" customHeight="1">
      <c r="A544" s="90"/>
      <c r="B544" s="83"/>
      <c r="C544" s="83"/>
      <c r="D544" s="83"/>
      <c r="E544" s="83"/>
      <c r="F544" s="83"/>
      <c r="G544" s="83"/>
      <c r="H544" s="84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ht="14.25" customHeight="1">
      <c r="A545" s="90"/>
      <c r="B545" s="83"/>
      <c r="C545" s="83"/>
      <c r="D545" s="83"/>
      <c r="E545" s="83"/>
      <c r="F545" s="83"/>
      <c r="G545" s="83"/>
      <c r="H545" s="84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ht="14.25" customHeight="1">
      <c r="A546" s="90"/>
      <c r="B546" s="83"/>
      <c r="C546" s="83"/>
      <c r="D546" s="83"/>
      <c r="E546" s="83"/>
      <c r="F546" s="83"/>
      <c r="G546" s="83"/>
      <c r="H546" s="84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ht="14.25" customHeight="1">
      <c r="A547" s="90"/>
      <c r="B547" s="83"/>
      <c r="C547" s="83"/>
      <c r="D547" s="83"/>
      <c r="E547" s="83"/>
      <c r="F547" s="83"/>
      <c r="G547" s="83"/>
      <c r="H547" s="84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ht="14.25" customHeight="1">
      <c r="A548" s="90"/>
      <c r="B548" s="83"/>
      <c r="C548" s="83"/>
      <c r="D548" s="83"/>
      <c r="E548" s="83"/>
      <c r="F548" s="83"/>
      <c r="G548" s="83"/>
      <c r="H548" s="84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ht="14.25" customHeight="1">
      <c r="A549" s="90"/>
      <c r="B549" s="83"/>
      <c r="C549" s="83"/>
      <c r="D549" s="83"/>
      <c r="E549" s="83"/>
      <c r="F549" s="83"/>
      <c r="G549" s="83"/>
      <c r="H549" s="84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ht="14.25" customHeight="1">
      <c r="A550" s="90"/>
      <c r="B550" s="83"/>
      <c r="C550" s="83"/>
      <c r="D550" s="83"/>
      <c r="E550" s="83"/>
      <c r="F550" s="83"/>
      <c r="G550" s="83"/>
      <c r="H550" s="84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ht="14.25" customHeight="1">
      <c r="A551" s="90"/>
      <c r="B551" s="83"/>
      <c r="C551" s="83"/>
      <c r="D551" s="83"/>
      <c r="E551" s="83"/>
      <c r="F551" s="83"/>
      <c r="G551" s="83"/>
      <c r="H551" s="84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14.25" customHeight="1">
      <c r="A552" s="90"/>
      <c r="B552" s="83"/>
      <c r="C552" s="83"/>
      <c r="D552" s="83"/>
      <c r="E552" s="83"/>
      <c r="F552" s="83"/>
      <c r="G552" s="83"/>
      <c r="H552" s="84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ht="14.25" customHeight="1">
      <c r="A553" s="90"/>
      <c r="B553" s="83"/>
      <c r="C553" s="83"/>
      <c r="D553" s="83"/>
      <c r="E553" s="83"/>
      <c r="F553" s="83"/>
      <c r="G553" s="83"/>
      <c r="H553" s="84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ht="14.25" customHeight="1">
      <c r="A554" s="90"/>
      <c r="B554" s="83"/>
      <c r="C554" s="83"/>
      <c r="D554" s="83"/>
      <c r="E554" s="83"/>
      <c r="F554" s="83"/>
      <c r="G554" s="83"/>
      <c r="H554" s="84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ht="14.25" customHeight="1">
      <c r="A555" s="90"/>
      <c r="B555" s="83"/>
      <c r="C555" s="83"/>
      <c r="D555" s="83"/>
      <c r="E555" s="83"/>
      <c r="F555" s="83"/>
      <c r="G555" s="83"/>
      <c r="H555" s="84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ht="14.25" customHeight="1">
      <c r="A556" s="90"/>
      <c r="B556" s="83"/>
      <c r="C556" s="83"/>
      <c r="D556" s="83"/>
      <c r="E556" s="83"/>
      <c r="F556" s="83"/>
      <c r="G556" s="83"/>
      <c r="H556" s="84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ht="14.25" customHeight="1">
      <c r="A557" s="90"/>
      <c r="B557" s="83"/>
      <c r="C557" s="83"/>
      <c r="D557" s="83"/>
      <c r="E557" s="83"/>
      <c r="F557" s="83"/>
      <c r="G557" s="83"/>
      <c r="H557" s="84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ht="14.25" customHeight="1">
      <c r="A558" s="90"/>
      <c r="B558" s="83"/>
      <c r="C558" s="83"/>
      <c r="D558" s="83"/>
      <c r="E558" s="83"/>
      <c r="F558" s="83"/>
      <c r="G558" s="83"/>
      <c r="H558" s="84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14.25" customHeight="1">
      <c r="A559" s="90"/>
      <c r="B559" s="83"/>
      <c r="C559" s="83"/>
      <c r="D559" s="83"/>
      <c r="E559" s="83"/>
      <c r="F559" s="83"/>
      <c r="G559" s="83"/>
      <c r="H559" s="84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14.25" customHeight="1">
      <c r="A560" s="90"/>
      <c r="B560" s="83"/>
      <c r="C560" s="83"/>
      <c r="D560" s="83"/>
      <c r="E560" s="83"/>
      <c r="F560" s="83"/>
      <c r="G560" s="83"/>
      <c r="H560" s="84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ht="14.25" customHeight="1">
      <c r="A561" s="90"/>
      <c r="B561" s="83"/>
      <c r="C561" s="83"/>
      <c r="D561" s="83"/>
      <c r="E561" s="83"/>
      <c r="F561" s="83"/>
      <c r="G561" s="83"/>
      <c r="H561" s="84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14.25" customHeight="1">
      <c r="A562" s="90"/>
      <c r="B562" s="83"/>
      <c r="C562" s="83"/>
      <c r="D562" s="83"/>
      <c r="E562" s="83"/>
      <c r="F562" s="83"/>
      <c r="G562" s="83"/>
      <c r="H562" s="84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ht="14.25" customHeight="1">
      <c r="A563" s="90"/>
      <c r="B563" s="83"/>
      <c r="C563" s="83"/>
      <c r="D563" s="83"/>
      <c r="E563" s="83"/>
      <c r="F563" s="83"/>
      <c r="G563" s="83"/>
      <c r="H563" s="84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ht="14.25" customHeight="1">
      <c r="A564" s="90"/>
      <c r="B564" s="83"/>
      <c r="C564" s="83"/>
      <c r="D564" s="83"/>
      <c r="E564" s="83"/>
      <c r="F564" s="83"/>
      <c r="G564" s="83"/>
      <c r="H564" s="84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ht="14.25" customHeight="1">
      <c r="A565" s="90"/>
      <c r="B565" s="83"/>
      <c r="C565" s="83"/>
      <c r="D565" s="83"/>
      <c r="E565" s="83"/>
      <c r="F565" s="83"/>
      <c r="G565" s="83"/>
      <c r="H565" s="84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ht="14.25" customHeight="1">
      <c r="A566" s="90"/>
      <c r="B566" s="83"/>
      <c r="C566" s="83"/>
      <c r="D566" s="83"/>
      <c r="E566" s="83"/>
      <c r="F566" s="83"/>
      <c r="G566" s="83"/>
      <c r="H566" s="84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14.25" customHeight="1">
      <c r="A567" s="90"/>
      <c r="B567" s="83"/>
      <c r="C567" s="83"/>
      <c r="D567" s="83"/>
      <c r="E567" s="83"/>
      <c r="F567" s="83"/>
      <c r="G567" s="83"/>
      <c r="H567" s="84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14.25" customHeight="1">
      <c r="A568" s="90"/>
      <c r="B568" s="83"/>
      <c r="C568" s="83"/>
      <c r="D568" s="83"/>
      <c r="E568" s="83"/>
      <c r="F568" s="83"/>
      <c r="G568" s="83"/>
      <c r="H568" s="84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ht="14.25" customHeight="1">
      <c r="A569" s="90"/>
      <c r="B569" s="83"/>
      <c r="C569" s="83"/>
      <c r="D569" s="83"/>
      <c r="E569" s="83"/>
      <c r="F569" s="83"/>
      <c r="G569" s="83"/>
      <c r="H569" s="84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14.25" customHeight="1">
      <c r="A570" s="90"/>
      <c r="B570" s="83"/>
      <c r="C570" s="83"/>
      <c r="D570" s="83"/>
      <c r="E570" s="83"/>
      <c r="F570" s="83"/>
      <c r="G570" s="83"/>
      <c r="H570" s="84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ht="14.25" customHeight="1">
      <c r="A571" s="90"/>
      <c r="B571" s="83"/>
      <c r="C571" s="83"/>
      <c r="D571" s="83"/>
      <c r="E571" s="83"/>
      <c r="F571" s="83"/>
      <c r="G571" s="83"/>
      <c r="H571" s="84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ht="14.25" customHeight="1">
      <c r="A572" s="90"/>
      <c r="B572" s="83"/>
      <c r="C572" s="83"/>
      <c r="D572" s="83"/>
      <c r="E572" s="83"/>
      <c r="F572" s="83"/>
      <c r="G572" s="83"/>
      <c r="H572" s="84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ht="14.25" customHeight="1">
      <c r="A573" s="90"/>
      <c r="B573" s="83"/>
      <c r="C573" s="83"/>
      <c r="D573" s="83"/>
      <c r="E573" s="83"/>
      <c r="F573" s="83"/>
      <c r="G573" s="83"/>
      <c r="H573" s="84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ht="14.25" customHeight="1">
      <c r="A574" s="90"/>
      <c r="B574" s="83"/>
      <c r="C574" s="83"/>
      <c r="D574" s="83"/>
      <c r="E574" s="83"/>
      <c r="F574" s="83"/>
      <c r="G574" s="83"/>
      <c r="H574" s="84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14.25" customHeight="1">
      <c r="A575" s="90"/>
      <c r="B575" s="83"/>
      <c r="C575" s="83"/>
      <c r="D575" s="83"/>
      <c r="E575" s="83"/>
      <c r="F575" s="83"/>
      <c r="G575" s="83"/>
      <c r="H575" s="84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14.25" customHeight="1">
      <c r="A576" s="90"/>
      <c r="B576" s="83"/>
      <c r="C576" s="83"/>
      <c r="D576" s="83"/>
      <c r="E576" s="83"/>
      <c r="F576" s="83"/>
      <c r="G576" s="83"/>
      <c r="H576" s="84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14.25" customHeight="1">
      <c r="A577" s="90"/>
      <c r="B577" s="83"/>
      <c r="C577" s="83"/>
      <c r="D577" s="83"/>
      <c r="E577" s="83"/>
      <c r="F577" s="83"/>
      <c r="G577" s="83"/>
      <c r="H577" s="84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ht="14.25" customHeight="1">
      <c r="A578" s="90"/>
      <c r="B578" s="83"/>
      <c r="C578" s="83"/>
      <c r="D578" s="83"/>
      <c r="E578" s="83"/>
      <c r="F578" s="83"/>
      <c r="G578" s="83"/>
      <c r="H578" s="84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14.25" customHeight="1">
      <c r="A579" s="90"/>
      <c r="B579" s="83"/>
      <c r="C579" s="83"/>
      <c r="D579" s="83"/>
      <c r="E579" s="83"/>
      <c r="F579" s="83"/>
      <c r="G579" s="83"/>
      <c r="H579" s="84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ht="14.25" customHeight="1">
      <c r="A580" s="90"/>
      <c r="B580" s="83"/>
      <c r="C580" s="83"/>
      <c r="D580" s="83"/>
      <c r="E580" s="83"/>
      <c r="F580" s="83"/>
      <c r="G580" s="83"/>
      <c r="H580" s="84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ht="14.25" customHeight="1">
      <c r="A581" s="90"/>
      <c r="B581" s="83"/>
      <c r="C581" s="83"/>
      <c r="D581" s="83"/>
      <c r="E581" s="83"/>
      <c r="F581" s="83"/>
      <c r="G581" s="83"/>
      <c r="H581" s="84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ht="14.25" customHeight="1">
      <c r="A582" s="90"/>
      <c r="B582" s="83"/>
      <c r="C582" s="83"/>
      <c r="D582" s="83"/>
      <c r="E582" s="83"/>
      <c r="F582" s="83"/>
      <c r="G582" s="83"/>
      <c r="H582" s="84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14.25" customHeight="1">
      <c r="A583" s="90"/>
      <c r="B583" s="83"/>
      <c r="C583" s="83"/>
      <c r="D583" s="83"/>
      <c r="E583" s="83"/>
      <c r="F583" s="83"/>
      <c r="G583" s="83"/>
      <c r="H583" s="84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14.25" customHeight="1">
      <c r="A584" s="90"/>
      <c r="B584" s="83"/>
      <c r="C584" s="83"/>
      <c r="D584" s="83"/>
      <c r="E584" s="83"/>
      <c r="F584" s="83"/>
      <c r="G584" s="83"/>
      <c r="H584" s="84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14.25" customHeight="1">
      <c r="A585" s="90"/>
      <c r="B585" s="83"/>
      <c r="C585" s="83"/>
      <c r="D585" s="83"/>
      <c r="E585" s="83"/>
      <c r="F585" s="83"/>
      <c r="G585" s="83"/>
      <c r="H585" s="84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ht="14.25" customHeight="1">
      <c r="A586" s="90"/>
      <c r="B586" s="83"/>
      <c r="C586" s="83"/>
      <c r="D586" s="83"/>
      <c r="E586" s="83"/>
      <c r="F586" s="83"/>
      <c r="G586" s="83"/>
      <c r="H586" s="84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14.25" customHeight="1">
      <c r="A587" s="90"/>
      <c r="B587" s="83"/>
      <c r="C587" s="83"/>
      <c r="D587" s="83"/>
      <c r="E587" s="83"/>
      <c r="F587" s="83"/>
      <c r="G587" s="83"/>
      <c r="H587" s="84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ht="14.25" customHeight="1">
      <c r="A588" s="90"/>
      <c r="B588" s="83"/>
      <c r="C588" s="83"/>
      <c r="D588" s="83"/>
      <c r="E588" s="83"/>
      <c r="F588" s="83"/>
      <c r="G588" s="83"/>
      <c r="H588" s="84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ht="14.25" customHeight="1">
      <c r="A589" s="90"/>
      <c r="B589" s="83"/>
      <c r="C589" s="83"/>
      <c r="D589" s="83"/>
      <c r="E589" s="83"/>
      <c r="F589" s="83"/>
      <c r="G589" s="83"/>
      <c r="H589" s="84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ht="14.25" customHeight="1">
      <c r="A590" s="90"/>
      <c r="B590" s="83"/>
      <c r="C590" s="83"/>
      <c r="D590" s="83"/>
      <c r="E590" s="83"/>
      <c r="F590" s="83"/>
      <c r="G590" s="83"/>
      <c r="H590" s="84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14.25" customHeight="1">
      <c r="A591" s="90"/>
      <c r="B591" s="83"/>
      <c r="C591" s="83"/>
      <c r="D591" s="83"/>
      <c r="E591" s="83"/>
      <c r="F591" s="83"/>
      <c r="G591" s="83"/>
      <c r="H591" s="84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14.25" customHeight="1">
      <c r="A592" s="90"/>
      <c r="B592" s="83"/>
      <c r="C592" s="83"/>
      <c r="D592" s="83"/>
      <c r="E592" s="83"/>
      <c r="F592" s="83"/>
      <c r="G592" s="83"/>
      <c r="H592" s="84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14.25" customHeight="1">
      <c r="A593" s="90"/>
      <c r="B593" s="83"/>
      <c r="C593" s="83"/>
      <c r="D593" s="83"/>
      <c r="E593" s="83"/>
      <c r="F593" s="83"/>
      <c r="G593" s="83"/>
      <c r="H593" s="84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ht="14.25" customHeight="1">
      <c r="A594" s="90"/>
      <c r="B594" s="83"/>
      <c r="C594" s="83"/>
      <c r="D594" s="83"/>
      <c r="E594" s="83"/>
      <c r="F594" s="83"/>
      <c r="G594" s="83"/>
      <c r="H594" s="84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14.25" customHeight="1">
      <c r="A595" s="90"/>
      <c r="B595" s="83"/>
      <c r="C595" s="83"/>
      <c r="D595" s="83"/>
      <c r="E595" s="83"/>
      <c r="F595" s="83"/>
      <c r="G595" s="83"/>
      <c r="H595" s="84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ht="14.25" customHeight="1">
      <c r="A596" s="90"/>
      <c r="B596" s="83"/>
      <c r="C596" s="83"/>
      <c r="D596" s="83"/>
      <c r="E596" s="83"/>
      <c r="F596" s="83"/>
      <c r="G596" s="83"/>
      <c r="H596" s="84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ht="14.25" customHeight="1">
      <c r="A597" s="90"/>
      <c r="B597" s="83"/>
      <c r="C597" s="83"/>
      <c r="D597" s="83"/>
      <c r="E597" s="83"/>
      <c r="F597" s="83"/>
      <c r="G597" s="83"/>
      <c r="H597" s="84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ht="14.25" customHeight="1">
      <c r="A598" s="90"/>
      <c r="B598" s="83"/>
      <c r="C598" s="83"/>
      <c r="D598" s="83"/>
      <c r="E598" s="83"/>
      <c r="F598" s="83"/>
      <c r="G598" s="83"/>
      <c r="H598" s="84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14.25" customHeight="1">
      <c r="A599" s="90"/>
      <c r="B599" s="83"/>
      <c r="C599" s="83"/>
      <c r="D599" s="83"/>
      <c r="E599" s="83"/>
      <c r="F599" s="83"/>
      <c r="G599" s="83"/>
      <c r="H599" s="84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14.25" customHeight="1">
      <c r="A600" s="90"/>
      <c r="B600" s="83"/>
      <c r="C600" s="83"/>
      <c r="D600" s="83"/>
      <c r="E600" s="83"/>
      <c r="F600" s="83"/>
      <c r="G600" s="83"/>
      <c r="H600" s="84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14.25" customHeight="1">
      <c r="A601" s="90"/>
      <c r="B601" s="83"/>
      <c r="C601" s="83"/>
      <c r="D601" s="83"/>
      <c r="E601" s="83"/>
      <c r="F601" s="83"/>
      <c r="G601" s="83"/>
      <c r="H601" s="84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ht="14.25" customHeight="1">
      <c r="A602" s="90"/>
      <c r="B602" s="83"/>
      <c r="C602" s="83"/>
      <c r="D602" s="83"/>
      <c r="E602" s="83"/>
      <c r="F602" s="83"/>
      <c r="G602" s="83"/>
      <c r="H602" s="84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14.25" customHeight="1">
      <c r="A603" s="90"/>
      <c r="B603" s="83"/>
      <c r="C603" s="83"/>
      <c r="D603" s="83"/>
      <c r="E603" s="83"/>
      <c r="F603" s="83"/>
      <c r="G603" s="83"/>
      <c r="H603" s="84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ht="14.25" customHeight="1">
      <c r="A604" s="90"/>
      <c r="B604" s="83"/>
      <c r="C604" s="83"/>
      <c r="D604" s="83"/>
      <c r="E604" s="83"/>
      <c r="F604" s="83"/>
      <c r="G604" s="83"/>
      <c r="H604" s="84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ht="14.25" customHeight="1">
      <c r="A605" s="90"/>
      <c r="B605" s="83"/>
      <c r="C605" s="83"/>
      <c r="D605" s="83"/>
      <c r="E605" s="83"/>
      <c r="F605" s="83"/>
      <c r="G605" s="83"/>
      <c r="H605" s="84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ht="14.25" customHeight="1">
      <c r="A606" s="90"/>
      <c r="B606" s="83"/>
      <c r="C606" s="83"/>
      <c r="D606" s="83"/>
      <c r="E606" s="83"/>
      <c r="F606" s="83"/>
      <c r="G606" s="83"/>
      <c r="H606" s="84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14.25" customHeight="1">
      <c r="A607" s="90"/>
      <c r="B607" s="83"/>
      <c r="C607" s="83"/>
      <c r="D607" s="83"/>
      <c r="E607" s="83"/>
      <c r="F607" s="83"/>
      <c r="G607" s="83"/>
      <c r="H607" s="84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14.25" customHeight="1">
      <c r="A608" s="90"/>
      <c r="B608" s="83"/>
      <c r="C608" s="83"/>
      <c r="D608" s="83"/>
      <c r="E608" s="83"/>
      <c r="F608" s="83"/>
      <c r="G608" s="83"/>
      <c r="H608" s="84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14.25" customHeight="1">
      <c r="A609" s="90"/>
      <c r="B609" s="83"/>
      <c r="C609" s="83"/>
      <c r="D609" s="83"/>
      <c r="E609" s="83"/>
      <c r="F609" s="83"/>
      <c r="G609" s="83"/>
      <c r="H609" s="84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ht="14.25" customHeight="1">
      <c r="A610" s="90"/>
      <c r="B610" s="83"/>
      <c r="C610" s="83"/>
      <c r="D610" s="83"/>
      <c r="E610" s="83"/>
      <c r="F610" s="83"/>
      <c r="G610" s="83"/>
      <c r="H610" s="84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ht="14.25" customHeight="1">
      <c r="A611" s="90"/>
      <c r="B611" s="83"/>
      <c r="C611" s="83"/>
      <c r="D611" s="83"/>
      <c r="E611" s="83"/>
      <c r="F611" s="83"/>
      <c r="G611" s="83"/>
      <c r="H611" s="84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14.25" customHeight="1">
      <c r="A612" s="90"/>
      <c r="B612" s="83"/>
      <c r="C612" s="83"/>
      <c r="D612" s="83"/>
      <c r="E612" s="83"/>
      <c r="F612" s="83"/>
      <c r="G612" s="83"/>
      <c r="H612" s="84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ht="14.25" customHeight="1">
      <c r="A613" s="90"/>
      <c r="B613" s="83"/>
      <c r="C613" s="83"/>
      <c r="D613" s="83"/>
      <c r="E613" s="83"/>
      <c r="F613" s="83"/>
      <c r="G613" s="83"/>
      <c r="H613" s="84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ht="14.25" customHeight="1">
      <c r="A614" s="90"/>
      <c r="B614" s="83"/>
      <c r="C614" s="83"/>
      <c r="D614" s="83"/>
      <c r="E614" s="83"/>
      <c r="F614" s="83"/>
      <c r="G614" s="83"/>
      <c r="H614" s="84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14.25" customHeight="1">
      <c r="A615" s="90"/>
      <c r="B615" s="83"/>
      <c r="C615" s="83"/>
      <c r="D615" s="83"/>
      <c r="E615" s="83"/>
      <c r="F615" s="83"/>
      <c r="G615" s="83"/>
      <c r="H615" s="84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14.25" customHeight="1">
      <c r="A616" s="90"/>
      <c r="B616" s="83"/>
      <c r="C616" s="83"/>
      <c r="D616" s="83"/>
      <c r="E616" s="83"/>
      <c r="F616" s="83"/>
      <c r="G616" s="83"/>
      <c r="H616" s="84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14.25" customHeight="1">
      <c r="A617" s="90"/>
      <c r="B617" s="83"/>
      <c r="C617" s="83"/>
      <c r="D617" s="83"/>
      <c r="E617" s="83"/>
      <c r="F617" s="83"/>
      <c r="G617" s="83"/>
      <c r="H617" s="84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14.25" customHeight="1">
      <c r="A618" s="90"/>
      <c r="B618" s="83"/>
      <c r="C618" s="83"/>
      <c r="D618" s="83"/>
      <c r="E618" s="83"/>
      <c r="F618" s="83"/>
      <c r="G618" s="83"/>
      <c r="H618" s="84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14.25" customHeight="1">
      <c r="A619" s="90"/>
      <c r="B619" s="83"/>
      <c r="C619" s="83"/>
      <c r="D619" s="83"/>
      <c r="E619" s="83"/>
      <c r="F619" s="83"/>
      <c r="G619" s="83"/>
      <c r="H619" s="84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14.25" customHeight="1">
      <c r="A620" s="90"/>
      <c r="B620" s="83"/>
      <c r="C620" s="83"/>
      <c r="D620" s="83"/>
      <c r="E620" s="83"/>
      <c r="F620" s="83"/>
      <c r="G620" s="83"/>
      <c r="H620" s="84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14.25" customHeight="1">
      <c r="A621" s="90"/>
      <c r="B621" s="83"/>
      <c r="C621" s="83"/>
      <c r="D621" s="83"/>
      <c r="E621" s="83"/>
      <c r="F621" s="83"/>
      <c r="G621" s="83"/>
      <c r="H621" s="84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14.25" customHeight="1">
      <c r="A622" s="90"/>
      <c r="B622" s="83"/>
      <c r="C622" s="83"/>
      <c r="D622" s="83"/>
      <c r="E622" s="83"/>
      <c r="F622" s="83"/>
      <c r="G622" s="83"/>
      <c r="H622" s="84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14.25" customHeight="1">
      <c r="A623" s="90"/>
      <c r="B623" s="83"/>
      <c r="C623" s="83"/>
      <c r="D623" s="83"/>
      <c r="E623" s="83"/>
      <c r="F623" s="83"/>
      <c r="G623" s="83"/>
      <c r="H623" s="84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14.25" customHeight="1">
      <c r="A624" s="90"/>
      <c r="B624" s="83"/>
      <c r="C624" s="83"/>
      <c r="D624" s="83"/>
      <c r="E624" s="83"/>
      <c r="F624" s="83"/>
      <c r="G624" s="83"/>
      <c r="H624" s="84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14.25" customHeight="1">
      <c r="A625" s="90"/>
      <c r="B625" s="83"/>
      <c r="C625" s="83"/>
      <c r="D625" s="83"/>
      <c r="E625" s="83"/>
      <c r="F625" s="83"/>
      <c r="G625" s="83"/>
      <c r="H625" s="84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14.25" customHeight="1">
      <c r="A626" s="90"/>
      <c r="B626" s="83"/>
      <c r="C626" s="83"/>
      <c r="D626" s="83"/>
      <c r="E626" s="83"/>
      <c r="F626" s="83"/>
      <c r="G626" s="83"/>
      <c r="H626" s="84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14.25" customHeight="1">
      <c r="A627" s="90"/>
      <c r="B627" s="83"/>
      <c r="C627" s="83"/>
      <c r="D627" s="83"/>
      <c r="E627" s="83"/>
      <c r="F627" s="83"/>
      <c r="G627" s="83"/>
      <c r="H627" s="84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14.25" customHeight="1">
      <c r="A628" s="90"/>
      <c r="B628" s="83"/>
      <c r="C628" s="83"/>
      <c r="D628" s="83"/>
      <c r="E628" s="83"/>
      <c r="F628" s="83"/>
      <c r="G628" s="83"/>
      <c r="H628" s="84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14.25" customHeight="1">
      <c r="A629" s="90"/>
      <c r="B629" s="83"/>
      <c r="C629" s="83"/>
      <c r="D629" s="83"/>
      <c r="E629" s="83"/>
      <c r="F629" s="83"/>
      <c r="G629" s="83"/>
      <c r="H629" s="84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14.25" customHeight="1">
      <c r="A630" s="90"/>
      <c r="B630" s="83"/>
      <c r="C630" s="83"/>
      <c r="D630" s="83"/>
      <c r="E630" s="83"/>
      <c r="F630" s="83"/>
      <c r="G630" s="83"/>
      <c r="H630" s="84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14.25" customHeight="1">
      <c r="A631" s="90"/>
      <c r="B631" s="83"/>
      <c r="C631" s="83"/>
      <c r="D631" s="83"/>
      <c r="E631" s="83"/>
      <c r="F631" s="83"/>
      <c r="G631" s="83"/>
      <c r="H631" s="84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14.25" customHeight="1">
      <c r="A632" s="90"/>
      <c r="B632" s="83"/>
      <c r="C632" s="83"/>
      <c r="D632" s="83"/>
      <c r="E632" s="83"/>
      <c r="F632" s="83"/>
      <c r="G632" s="83"/>
      <c r="H632" s="84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14.25" customHeight="1">
      <c r="A633" s="90"/>
      <c r="B633" s="83"/>
      <c r="C633" s="83"/>
      <c r="D633" s="83"/>
      <c r="E633" s="83"/>
      <c r="F633" s="83"/>
      <c r="G633" s="83"/>
      <c r="H633" s="84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14.25" customHeight="1">
      <c r="A634" s="90"/>
      <c r="B634" s="83"/>
      <c r="C634" s="83"/>
      <c r="D634" s="83"/>
      <c r="E634" s="83"/>
      <c r="F634" s="83"/>
      <c r="G634" s="83"/>
      <c r="H634" s="84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14.25" customHeight="1">
      <c r="A635" s="90"/>
      <c r="B635" s="83"/>
      <c r="C635" s="83"/>
      <c r="D635" s="83"/>
      <c r="E635" s="83"/>
      <c r="F635" s="83"/>
      <c r="G635" s="83"/>
      <c r="H635" s="84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14.25" customHeight="1">
      <c r="A636" s="90"/>
      <c r="B636" s="83"/>
      <c r="C636" s="83"/>
      <c r="D636" s="83"/>
      <c r="E636" s="83"/>
      <c r="F636" s="83"/>
      <c r="G636" s="83"/>
      <c r="H636" s="84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14.25" customHeight="1">
      <c r="A637" s="90"/>
      <c r="B637" s="83"/>
      <c r="C637" s="83"/>
      <c r="D637" s="83"/>
      <c r="E637" s="83"/>
      <c r="F637" s="83"/>
      <c r="G637" s="83"/>
      <c r="H637" s="84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14.25" customHeight="1">
      <c r="A638" s="90"/>
      <c r="B638" s="83"/>
      <c r="C638" s="83"/>
      <c r="D638" s="83"/>
      <c r="E638" s="83"/>
      <c r="F638" s="83"/>
      <c r="G638" s="83"/>
      <c r="H638" s="84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14.25" customHeight="1">
      <c r="A639" s="90"/>
      <c r="B639" s="83"/>
      <c r="C639" s="83"/>
      <c r="D639" s="83"/>
      <c r="E639" s="83"/>
      <c r="F639" s="83"/>
      <c r="G639" s="83"/>
      <c r="H639" s="84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14.25" customHeight="1">
      <c r="A640" s="90"/>
      <c r="B640" s="83"/>
      <c r="C640" s="83"/>
      <c r="D640" s="83"/>
      <c r="E640" s="83"/>
      <c r="F640" s="83"/>
      <c r="G640" s="83"/>
      <c r="H640" s="84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14.25" customHeight="1">
      <c r="A641" s="90"/>
      <c r="B641" s="83"/>
      <c r="C641" s="83"/>
      <c r="D641" s="83"/>
      <c r="E641" s="83"/>
      <c r="F641" s="83"/>
      <c r="G641" s="83"/>
      <c r="H641" s="84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14.25" customHeight="1">
      <c r="A642" s="90"/>
      <c r="B642" s="83"/>
      <c r="C642" s="83"/>
      <c r="D642" s="83"/>
      <c r="E642" s="83"/>
      <c r="F642" s="83"/>
      <c r="G642" s="83"/>
      <c r="H642" s="84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14.25" customHeight="1">
      <c r="A643" s="90"/>
      <c r="B643" s="83"/>
      <c r="C643" s="83"/>
      <c r="D643" s="83"/>
      <c r="E643" s="83"/>
      <c r="F643" s="83"/>
      <c r="G643" s="83"/>
      <c r="H643" s="84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14.25" customHeight="1">
      <c r="A644" s="90"/>
      <c r="B644" s="83"/>
      <c r="C644" s="83"/>
      <c r="D644" s="83"/>
      <c r="E644" s="83"/>
      <c r="F644" s="83"/>
      <c r="G644" s="83"/>
      <c r="H644" s="84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14.25" customHeight="1">
      <c r="A645" s="90"/>
      <c r="B645" s="83"/>
      <c r="C645" s="83"/>
      <c r="D645" s="83"/>
      <c r="E645" s="83"/>
      <c r="F645" s="83"/>
      <c r="G645" s="83"/>
      <c r="H645" s="84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14.25" customHeight="1">
      <c r="A646" s="90"/>
      <c r="B646" s="83"/>
      <c r="C646" s="83"/>
      <c r="D646" s="83"/>
      <c r="E646" s="83"/>
      <c r="F646" s="83"/>
      <c r="G646" s="83"/>
      <c r="H646" s="84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14.25" customHeight="1">
      <c r="A647" s="90"/>
      <c r="B647" s="83"/>
      <c r="C647" s="83"/>
      <c r="D647" s="83"/>
      <c r="E647" s="83"/>
      <c r="F647" s="83"/>
      <c r="G647" s="83"/>
      <c r="H647" s="84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14.25" customHeight="1">
      <c r="A648" s="90"/>
      <c r="B648" s="83"/>
      <c r="C648" s="83"/>
      <c r="D648" s="83"/>
      <c r="E648" s="83"/>
      <c r="F648" s="83"/>
      <c r="G648" s="83"/>
      <c r="H648" s="84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14.25" customHeight="1">
      <c r="A649" s="90"/>
      <c r="B649" s="83"/>
      <c r="C649" s="83"/>
      <c r="D649" s="83"/>
      <c r="E649" s="83"/>
      <c r="F649" s="83"/>
      <c r="G649" s="83"/>
      <c r="H649" s="84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14.25" customHeight="1">
      <c r="A650" s="90"/>
      <c r="B650" s="83"/>
      <c r="C650" s="83"/>
      <c r="D650" s="83"/>
      <c r="E650" s="83"/>
      <c r="F650" s="83"/>
      <c r="G650" s="83"/>
      <c r="H650" s="84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14.25" customHeight="1">
      <c r="A651" s="90"/>
      <c r="B651" s="83"/>
      <c r="C651" s="83"/>
      <c r="D651" s="83"/>
      <c r="E651" s="83"/>
      <c r="F651" s="83"/>
      <c r="G651" s="83"/>
      <c r="H651" s="84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14.25" customHeight="1">
      <c r="A652" s="90"/>
      <c r="B652" s="83"/>
      <c r="C652" s="83"/>
      <c r="D652" s="83"/>
      <c r="E652" s="83"/>
      <c r="F652" s="83"/>
      <c r="G652" s="83"/>
      <c r="H652" s="84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14.25" customHeight="1">
      <c r="A653" s="90"/>
      <c r="B653" s="83"/>
      <c r="C653" s="83"/>
      <c r="D653" s="83"/>
      <c r="E653" s="83"/>
      <c r="F653" s="83"/>
      <c r="G653" s="83"/>
      <c r="H653" s="84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14.25" customHeight="1">
      <c r="A654" s="90"/>
      <c r="B654" s="83"/>
      <c r="C654" s="83"/>
      <c r="D654" s="83"/>
      <c r="E654" s="83"/>
      <c r="F654" s="83"/>
      <c r="G654" s="83"/>
      <c r="H654" s="84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14.25" customHeight="1">
      <c r="A655" s="90"/>
      <c r="B655" s="83"/>
      <c r="C655" s="83"/>
      <c r="D655" s="83"/>
      <c r="E655" s="83"/>
      <c r="F655" s="83"/>
      <c r="G655" s="83"/>
      <c r="H655" s="84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14.25" customHeight="1">
      <c r="A656" s="90"/>
      <c r="B656" s="83"/>
      <c r="C656" s="83"/>
      <c r="D656" s="83"/>
      <c r="E656" s="83"/>
      <c r="F656" s="83"/>
      <c r="G656" s="83"/>
      <c r="H656" s="84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14.25" customHeight="1">
      <c r="A657" s="90"/>
      <c r="B657" s="83"/>
      <c r="C657" s="83"/>
      <c r="D657" s="83"/>
      <c r="E657" s="83"/>
      <c r="F657" s="83"/>
      <c r="G657" s="83"/>
      <c r="H657" s="84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14.25" customHeight="1">
      <c r="A658" s="90"/>
      <c r="B658" s="83"/>
      <c r="C658" s="83"/>
      <c r="D658" s="83"/>
      <c r="E658" s="83"/>
      <c r="F658" s="83"/>
      <c r="G658" s="83"/>
      <c r="H658" s="84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14.25" customHeight="1">
      <c r="A659" s="90"/>
      <c r="B659" s="83"/>
      <c r="C659" s="83"/>
      <c r="D659" s="83"/>
      <c r="E659" s="83"/>
      <c r="F659" s="83"/>
      <c r="G659" s="83"/>
      <c r="H659" s="84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14.25" customHeight="1">
      <c r="A660" s="90"/>
      <c r="B660" s="83"/>
      <c r="C660" s="83"/>
      <c r="D660" s="83"/>
      <c r="E660" s="83"/>
      <c r="F660" s="83"/>
      <c r="G660" s="83"/>
      <c r="H660" s="84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14.25" customHeight="1">
      <c r="A661" s="90"/>
      <c r="B661" s="83"/>
      <c r="C661" s="83"/>
      <c r="D661" s="83"/>
      <c r="E661" s="83"/>
      <c r="F661" s="83"/>
      <c r="G661" s="83"/>
      <c r="H661" s="84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14.25" customHeight="1">
      <c r="A662" s="90"/>
      <c r="B662" s="83"/>
      <c r="C662" s="83"/>
      <c r="D662" s="83"/>
      <c r="E662" s="83"/>
      <c r="F662" s="83"/>
      <c r="G662" s="83"/>
      <c r="H662" s="84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14.25" customHeight="1">
      <c r="A663" s="90"/>
      <c r="B663" s="83"/>
      <c r="C663" s="83"/>
      <c r="D663" s="83"/>
      <c r="E663" s="83"/>
      <c r="F663" s="83"/>
      <c r="G663" s="83"/>
      <c r="H663" s="84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14.25" customHeight="1">
      <c r="A664" s="90"/>
      <c r="B664" s="83"/>
      <c r="C664" s="83"/>
      <c r="D664" s="83"/>
      <c r="E664" s="83"/>
      <c r="F664" s="83"/>
      <c r="G664" s="83"/>
      <c r="H664" s="84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14.25" customHeight="1">
      <c r="A665" s="90"/>
      <c r="B665" s="83"/>
      <c r="C665" s="83"/>
      <c r="D665" s="83"/>
      <c r="E665" s="83"/>
      <c r="F665" s="83"/>
      <c r="G665" s="83"/>
      <c r="H665" s="84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14.25" customHeight="1">
      <c r="A666" s="90"/>
      <c r="B666" s="83"/>
      <c r="C666" s="83"/>
      <c r="D666" s="83"/>
      <c r="E666" s="83"/>
      <c r="F666" s="83"/>
      <c r="G666" s="83"/>
      <c r="H666" s="84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14.25" customHeight="1">
      <c r="A667" s="90"/>
      <c r="B667" s="83"/>
      <c r="C667" s="83"/>
      <c r="D667" s="83"/>
      <c r="E667" s="83"/>
      <c r="F667" s="83"/>
      <c r="G667" s="83"/>
      <c r="H667" s="84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14.25" customHeight="1">
      <c r="A668" s="90"/>
      <c r="B668" s="83"/>
      <c r="C668" s="83"/>
      <c r="D668" s="83"/>
      <c r="E668" s="83"/>
      <c r="F668" s="83"/>
      <c r="G668" s="83"/>
      <c r="H668" s="84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14.25" customHeight="1">
      <c r="A669" s="90"/>
      <c r="B669" s="83"/>
      <c r="C669" s="83"/>
      <c r="D669" s="83"/>
      <c r="E669" s="83"/>
      <c r="F669" s="83"/>
      <c r="G669" s="83"/>
      <c r="H669" s="84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14.25" customHeight="1">
      <c r="A670" s="90"/>
      <c r="B670" s="83"/>
      <c r="C670" s="83"/>
      <c r="D670" s="83"/>
      <c r="E670" s="83"/>
      <c r="F670" s="83"/>
      <c r="G670" s="83"/>
      <c r="H670" s="84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14.25" customHeight="1">
      <c r="A671" s="90"/>
      <c r="B671" s="83"/>
      <c r="C671" s="83"/>
      <c r="D671" s="83"/>
      <c r="E671" s="83"/>
      <c r="F671" s="83"/>
      <c r="G671" s="83"/>
      <c r="H671" s="84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14.25" customHeight="1">
      <c r="A672" s="90"/>
      <c r="B672" s="83"/>
      <c r="C672" s="83"/>
      <c r="D672" s="83"/>
      <c r="E672" s="83"/>
      <c r="F672" s="83"/>
      <c r="G672" s="83"/>
      <c r="H672" s="84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14.25" customHeight="1">
      <c r="A673" s="90"/>
      <c r="B673" s="83"/>
      <c r="C673" s="83"/>
      <c r="D673" s="83"/>
      <c r="E673" s="83"/>
      <c r="F673" s="83"/>
      <c r="G673" s="83"/>
      <c r="H673" s="84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14.25" customHeight="1">
      <c r="A674" s="90"/>
      <c r="B674" s="83"/>
      <c r="C674" s="83"/>
      <c r="D674" s="83"/>
      <c r="E674" s="83"/>
      <c r="F674" s="83"/>
      <c r="G674" s="83"/>
      <c r="H674" s="84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14.25" customHeight="1">
      <c r="A675" s="90"/>
      <c r="B675" s="83"/>
      <c r="C675" s="83"/>
      <c r="D675" s="83"/>
      <c r="E675" s="83"/>
      <c r="F675" s="83"/>
      <c r="G675" s="83"/>
      <c r="H675" s="84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14.25" customHeight="1">
      <c r="A676" s="90"/>
      <c r="B676" s="83"/>
      <c r="C676" s="83"/>
      <c r="D676" s="83"/>
      <c r="E676" s="83"/>
      <c r="F676" s="83"/>
      <c r="G676" s="83"/>
      <c r="H676" s="84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14.25" customHeight="1">
      <c r="A677" s="90"/>
      <c r="B677" s="83"/>
      <c r="C677" s="83"/>
      <c r="D677" s="83"/>
      <c r="E677" s="83"/>
      <c r="F677" s="83"/>
      <c r="G677" s="83"/>
      <c r="H677" s="84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14.25" customHeight="1">
      <c r="A678" s="90"/>
      <c r="B678" s="83"/>
      <c r="C678" s="83"/>
      <c r="D678" s="83"/>
      <c r="E678" s="83"/>
      <c r="F678" s="83"/>
      <c r="G678" s="83"/>
      <c r="H678" s="84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14.25" customHeight="1">
      <c r="A679" s="90"/>
      <c r="B679" s="83"/>
      <c r="C679" s="83"/>
      <c r="D679" s="83"/>
      <c r="E679" s="83"/>
      <c r="F679" s="83"/>
      <c r="G679" s="83"/>
      <c r="H679" s="84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14.25" customHeight="1">
      <c r="A680" s="90"/>
      <c r="B680" s="83"/>
      <c r="C680" s="83"/>
      <c r="D680" s="83"/>
      <c r="E680" s="83"/>
      <c r="F680" s="83"/>
      <c r="G680" s="83"/>
      <c r="H680" s="84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14.25" customHeight="1">
      <c r="A681" s="90"/>
      <c r="B681" s="83"/>
      <c r="C681" s="83"/>
      <c r="D681" s="83"/>
      <c r="E681" s="83"/>
      <c r="F681" s="83"/>
      <c r="G681" s="83"/>
      <c r="H681" s="84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14.25" customHeight="1">
      <c r="A682" s="90"/>
      <c r="B682" s="83"/>
      <c r="C682" s="83"/>
      <c r="D682" s="83"/>
      <c r="E682" s="83"/>
      <c r="F682" s="83"/>
      <c r="G682" s="83"/>
      <c r="H682" s="84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14.25" customHeight="1">
      <c r="A683" s="90"/>
      <c r="B683" s="83"/>
      <c r="C683" s="83"/>
      <c r="D683" s="83"/>
      <c r="E683" s="83"/>
      <c r="F683" s="83"/>
      <c r="G683" s="83"/>
      <c r="H683" s="84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14.25" customHeight="1">
      <c r="A684" s="90"/>
      <c r="B684" s="83"/>
      <c r="C684" s="83"/>
      <c r="D684" s="83"/>
      <c r="E684" s="83"/>
      <c r="F684" s="83"/>
      <c r="G684" s="83"/>
      <c r="H684" s="84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14.25" customHeight="1">
      <c r="A685" s="90"/>
      <c r="B685" s="83"/>
      <c r="C685" s="83"/>
      <c r="D685" s="83"/>
      <c r="E685" s="83"/>
      <c r="F685" s="83"/>
      <c r="G685" s="83"/>
      <c r="H685" s="84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14.25" customHeight="1">
      <c r="A686" s="90"/>
      <c r="B686" s="83"/>
      <c r="C686" s="83"/>
      <c r="D686" s="83"/>
      <c r="E686" s="83"/>
      <c r="F686" s="83"/>
      <c r="G686" s="83"/>
      <c r="H686" s="84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14.25" customHeight="1">
      <c r="A687" s="90"/>
      <c r="B687" s="83"/>
      <c r="C687" s="83"/>
      <c r="D687" s="83"/>
      <c r="E687" s="83"/>
      <c r="F687" s="83"/>
      <c r="G687" s="83"/>
      <c r="H687" s="84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14.25" customHeight="1">
      <c r="A688" s="90"/>
      <c r="B688" s="83"/>
      <c r="C688" s="83"/>
      <c r="D688" s="83"/>
      <c r="E688" s="83"/>
      <c r="F688" s="83"/>
      <c r="G688" s="83"/>
      <c r="H688" s="84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14.25" customHeight="1">
      <c r="A689" s="90"/>
      <c r="B689" s="83"/>
      <c r="C689" s="83"/>
      <c r="D689" s="83"/>
      <c r="E689" s="83"/>
      <c r="F689" s="83"/>
      <c r="G689" s="83"/>
      <c r="H689" s="84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14.25" customHeight="1">
      <c r="A690" s="90"/>
      <c r="B690" s="83"/>
      <c r="C690" s="83"/>
      <c r="D690" s="83"/>
      <c r="E690" s="83"/>
      <c r="F690" s="83"/>
      <c r="G690" s="83"/>
      <c r="H690" s="84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14.25" customHeight="1">
      <c r="A691" s="90"/>
      <c r="B691" s="83"/>
      <c r="C691" s="83"/>
      <c r="D691" s="83"/>
      <c r="E691" s="83"/>
      <c r="F691" s="83"/>
      <c r="G691" s="83"/>
      <c r="H691" s="84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14.25" customHeight="1">
      <c r="A692" s="90"/>
      <c r="B692" s="83"/>
      <c r="C692" s="83"/>
      <c r="D692" s="83"/>
      <c r="E692" s="83"/>
      <c r="F692" s="83"/>
      <c r="G692" s="83"/>
      <c r="H692" s="84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14.25" customHeight="1">
      <c r="A693" s="90"/>
      <c r="B693" s="83"/>
      <c r="C693" s="83"/>
      <c r="D693" s="83"/>
      <c r="E693" s="83"/>
      <c r="F693" s="83"/>
      <c r="G693" s="83"/>
      <c r="H693" s="84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14.25" customHeight="1">
      <c r="A694" s="90"/>
      <c r="B694" s="83"/>
      <c r="C694" s="83"/>
      <c r="D694" s="83"/>
      <c r="E694" s="83"/>
      <c r="F694" s="83"/>
      <c r="G694" s="83"/>
      <c r="H694" s="84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14.25" customHeight="1">
      <c r="A695" s="90"/>
      <c r="B695" s="83"/>
      <c r="C695" s="83"/>
      <c r="D695" s="83"/>
      <c r="E695" s="83"/>
      <c r="F695" s="83"/>
      <c r="G695" s="83"/>
      <c r="H695" s="84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14.25" customHeight="1">
      <c r="A696" s="90"/>
      <c r="B696" s="83"/>
      <c r="C696" s="83"/>
      <c r="D696" s="83"/>
      <c r="E696" s="83"/>
      <c r="F696" s="83"/>
      <c r="G696" s="83"/>
      <c r="H696" s="84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14.25" customHeight="1">
      <c r="A697" s="90"/>
      <c r="B697" s="83"/>
      <c r="C697" s="83"/>
      <c r="D697" s="83"/>
      <c r="E697" s="83"/>
      <c r="F697" s="83"/>
      <c r="G697" s="83"/>
      <c r="H697" s="84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14.25" customHeight="1">
      <c r="A698" s="90"/>
      <c r="B698" s="83"/>
      <c r="C698" s="83"/>
      <c r="D698" s="83"/>
      <c r="E698" s="83"/>
      <c r="F698" s="83"/>
      <c r="G698" s="83"/>
      <c r="H698" s="84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14.25" customHeight="1">
      <c r="A699" s="90"/>
      <c r="B699" s="83"/>
      <c r="C699" s="83"/>
      <c r="D699" s="83"/>
      <c r="E699" s="83"/>
      <c r="F699" s="83"/>
      <c r="G699" s="83"/>
      <c r="H699" s="84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14.25" customHeight="1">
      <c r="A700" s="90"/>
      <c r="B700" s="83"/>
      <c r="C700" s="83"/>
      <c r="D700" s="83"/>
      <c r="E700" s="83"/>
      <c r="F700" s="83"/>
      <c r="G700" s="83"/>
      <c r="H700" s="84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14.25" customHeight="1">
      <c r="A701" s="90"/>
      <c r="B701" s="83"/>
      <c r="C701" s="83"/>
      <c r="D701" s="83"/>
      <c r="E701" s="83"/>
      <c r="F701" s="83"/>
      <c r="G701" s="83"/>
      <c r="H701" s="84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14.25" customHeight="1">
      <c r="A702" s="90"/>
      <c r="B702" s="83"/>
      <c r="C702" s="83"/>
      <c r="D702" s="83"/>
      <c r="E702" s="83"/>
      <c r="F702" s="83"/>
      <c r="G702" s="83"/>
      <c r="H702" s="84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14.25" customHeight="1">
      <c r="A703" s="90"/>
      <c r="B703" s="83"/>
      <c r="C703" s="83"/>
      <c r="D703" s="83"/>
      <c r="E703" s="83"/>
      <c r="F703" s="83"/>
      <c r="G703" s="83"/>
      <c r="H703" s="84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14.25" customHeight="1">
      <c r="A704" s="90"/>
      <c r="B704" s="83"/>
      <c r="C704" s="83"/>
      <c r="D704" s="83"/>
      <c r="E704" s="83"/>
      <c r="F704" s="83"/>
      <c r="G704" s="83"/>
      <c r="H704" s="84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14.25" customHeight="1">
      <c r="A705" s="90"/>
      <c r="B705" s="83"/>
      <c r="C705" s="83"/>
      <c r="D705" s="83"/>
      <c r="E705" s="83"/>
      <c r="F705" s="83"/>
      <c r="G705" s="83"/>
      <c r="H705" s="84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14.25" customHeight="1">
      <c r="A706" s="90"/>
      <c r="B706" s="83"/>
      <c r="C706" s="83"/>
      <c r="D706" s="83"/>
      <c r="E706" s="83"/>
      <c r="F706" s="83"/>
      <c r="G706" s="83"/>
      <c r="H706" s="84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14.25" customHeight="1">
      <c r="A707" s="90"/>
      <c r="B707" s="83"/>
      <c r="C707" s="83"/>
      <c r="D707" s="83"/>
      <c r="E707" s="83"/>
      <c r="F707" s="83"/>
      <c r="G707" s="83"/>
      <c r="H707" s="84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14.25" customHeight="1">
      <c r="A708" s="90"/>
      <c r="B708" s="83"/>
      <c r="C708" s="83"/>
      <c r="D708" s="83"/>
      <c r="E708" s="83"/>
      <c r="F708" s="83"/>
      <c r="G708" s="83"/>
      <c r="H708" s="84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14.25" customHeight="1">
      <c r="A709" s="90"/>
      <c r="B709" s="83"/>
      <c r="C709" s="83"/>
      <c r="D709" s="83"/>
      <c r="E709" s="83"/>
      <c r="F709" s="83"/>
      <c r="G709" s="83"/>
      <c r="H709" s="84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14.25" customHeight="1">
      <c r="A710" s="90"/>
      <c r="B710" s="83"/>
      <c r="C710" s="83"/>
      <c r="D710" s="83"/>
      <c r="E710" s="83"/>
      <c r="F710" s="83"/>
      <c r="G710" s="83"/>
      <c r="H710" s="84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14.25" customHeight="1">
      <c r="A711" s="90"/>
      <c r="B711" s="83"/>
      <c r="C711" s="83"/>
      <c r="D711" s="83"/>
      <c r="E711" s="83"/>
      <c r="F711" s="83"/>
      <c r="G711" s="83"/>
      <c r="H711" s="84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14.25" customHeight="1">
      <c r="A712" s="90"/>
      <c r="B712" s="83"/>
      <c r="C712" s="83"/>
      <c r="D712" s="83"/>
      <c r="E712" s="83"/>
      <c r="F712" s="83"/>
      <c r="G712" s="83"/>
      <c r="H712" s="84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14.25" customHeight="1">
      <c r="A713" s="90"/>
      <c r="B713" s="83"/>
      <c r="C713" s="83"/>
      <c r="D713" s="83"/>
      <c r="E713" s="83"/>
      <c r="F713" s="83"/>
      <c r="G713" s="83"/>
      <c r="H713" s="84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14.25" customHeight="1">
      <c r="A714" s="90"/>
      <c r="B714" s="83"/>
      <c r="C714" s="83"/>
      <c r="D714" s="83"/>
      <c r="E714" s="83"/>
      <c r="F714" s="83"/>
      <c r="G714" s="83"/>
      <c r="H714" s="84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14.25" customHeight="1">
      <c r="A715" s="90"/>
      <c r="B715" s="83"/>
      <c r="C715" s="83"/>
      <c r="D715" s="83"/>
      <c r="E715" s="83"/>
      <c r="F715" s="83"/>
      <c r="G715" s="83"/>
      <c r="H715" s="84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14.25" customHeight="1">
      <c r="A716" s="90"/>
      <c r="B716" s="83"/>
      <c r="C716" s="83"/>
      <c r="D716" s="83"/>
      <c r="E716" s="83"/>
      <c r="F716" s="83"/>
      <c r="G716" s="83"/>
      <c r="H716" s="84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14.25" customHeight="1">
      <c r="A717" s="90"/>
      <c r="B717" s="83"/>
      <c r="C717" s="83"/>
      <c r="D717" s="83"/>
      <c r="E717" s="83"/>
      <c r="F717" s="83"/>
      <c r="G717" s="83"/>
      <c r="H717" s="84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14.25" customHeight="1">
      <c r="A718" s="90"/>
      <c r="B718" s="83"/>
      <c r="C718" s="83"/>
      <c r="D718" s="83"/>
      <c r="E718" s="83"/>
      <c r="F718" s="83"/>
      <c r="G718" s="83"/>
      <c r="H718" s="84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14.25" customHeight="1">
      <c r="A719" s="90"/>
      <c r="B719" s="83"/>
      <c r="C719" s="83"/>
      <c r="D719" s="83"/>
      <c r="E719" s="83"/>
      <c r="F719" s="83"/>
      <c r="G719" s="83"/>
      <c r="H719" s="84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14.25" customHeight="1">
      <c r="A720" s="90"/>
      <c r="B720" s="83"/>
      <c r="C720" s="83"/>
      <c r="D720" s="83"/>
      <c r="E720" s="83"/>
      <c r="F720" s="83"/>
      <c r="G720" s="83"/>
      <c r="H720" s="84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14.25" customHeight="1">
      <c r="A721" s="90"/>
      <c r="B721" s="83"/>
      <c r="C721" s="83"/>
      <c r="D721" s="83"/>
      <c r="E721" s="83"/>
      <c r="F721" s="83"/>
      <c r="G721" s="83"/>
      <c r="H721" s="84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14.25" customHeight="1">
      <c r="A722" s="90"/>
      <c r="B722" s="83"/>
      <c r="C722" s="83"/>
      <c r="D722" s="83"/>
      <c r="E722" s="83"/>
      <c r="F722" s="83"/>
      <c r="G722" s="83"/>
      <c r="H722" s="84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14.25" customHeight="1">
      <c r="A723" s="90"/>
      <c r="B723" s="83"/>
      <c r="C723" s="83"/>
      <c r="D723" s="83"/>
      <c r="E723" s="83"/>
      <c r="F723" s="83"/>
      <c r="G723" s="83"/>
      <c r="H723" s="84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14.25" customHeight="1">
      <c r="A724" s="90"/>
      <c r="B724" s="83"/>
      <c r="C724" s="83"/>
      <c r="D724" s="83"/>
      <c r="E724" s="83"/>
      <c r="F724" s="83"/>
      <c r="G724" s="83"/>
      <c r="H724" s="84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14.25" customHeight="1">
      <c r="A725" s="90"/>
      <c r="B725" s="83"/>
      <c r="C725" s="83"/>
      <c r="D725" s="83"/>
      <c r="E725" s="83"/>
      <c r="F725" s="83"/>
      <c r="G725" s="83"/>
      <c r="H725" s="84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14.25" customHeight="1">
      <c r="A726" s="90"/>
      <c r="B726" s="83"/>
      <c r="C726" s="83"/>
      <c r="D726" s="83"/>
      <c r="E726" s="83"/>
      <c r="F726" s="83"/>
      <c r="G726" s="83"/>
      <c r="H726" s="84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14.25" customHeight="1">
      <c r="A727" s="90"/>
      <c r="B727" s="83"/>
      <c r="C727" s="83"/>
      <c r="D727" s="83"/>
      <c r="E727" s="83"/>
      <c r="F727" s="83"/>
      <c r="G727" s="83"/>
      <c r="H727" s="84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14.25" customHeight="1">
      <c r="A728" s="90"/>
      <c r="B728" s="83"/>
      <c r="C728" s="83"/>
      <c r="D728" s="83"/>
      <c r="E728" s="83"/>
      <c r="F728" s="83"/>
      <c r="G728" s="83"/>
      <c r="H728" s="84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14.25" customHeight="1">
      <c r="A729" s="90"/>
      <c r="B729" s="83"/>
      <c r="C729" s="83"/>
      <c r="D729" s="83"/>
      <c r="E729" s="83"/>
      <c r="F729" s="83"/>
      <c r="G729" s="83"/>
      <c r="H729" s="84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14.25" customHeight="1">
      <c r="A730" s="90"/>
      <c r="B730" s="83"/>
      <c r="C730" s="83"/>
      <c r="D730" s="83"/>
      <c r="E730" s="83"/>
      <c r="F730" s="83"/>
      <c r="G730" s="83"/>
      <c r="H730" s="84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14.25" customHeight="1">
      <c r="A731" s="90"/>
      <c r="B731" s="83"/>
      <c r="C731" s="83"/>
      <c r="D731" s="83"/>
      <c r="E731" s="83"/>
      <c r="F731" s="83"/>
      <c r="G731" s="83"/>
      <c r="H731" s="84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14.25" customHeight="1">
      <c r="A732" s="90"/>
      <c r="B732" s="83"/>
      <c r="C732" s="83"/>
      <c r="D732" s="83"/>
      <c r="E732" s="83"/>
      <c r="F732" s="83"/>
      <c r="G732" s="83"/>
      <c r="H732" s="84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14.25" customHeight="1">
      <c r="A733" s="90"/>
      <c r="B733" s="83"/>
      <c r="C733" s="83"/>
      <c r="D733" s="83"/>
      <c r="E733" s="83"/>
      <c r="F733" s="83"/>
      <c r="G733" s="83"/>
      <c r="H733" s="84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14.25" customHeight="1">
      <c r="A734" s="90"/>
      <c r="B734" s="83"/>
      <c r="C734" s="83"/>
      <c r="D734" s="83"/>
      <c r="E734" s="83"/>
      <c r="F734" s="83"/>
      <c r="G734" s="83"/>
      <c r="H734" s="84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14.25" customHeight="1">
      <c r="A735" s="90"/>
      <c r="B735" s="83"/>
      <c r="C735" s="83"/>
      <c r="D735" s="83"/>
      <c r="E735" s="83"/>
      <c r="F735" s="83"/>
      <c r="G735" s="83"/>
      <c r="H735" s="84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14.25" customHeight="1">
      <c r="A736" s="90"/>
      <c r="B736" s="83"/>
      <c r="C736" s="83"/>
      <c r="D736" s="83"/>
      <c r="E736" s="83"/>
      <c r="F736" s="83"/>
      <c r="G736" s="83"/>
      <c r="H736" s="84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14.25" customHeight="1">
      <c r="A737" s="90"/>
      <c r="B737" s="83"/>
      <c r="C737" s="83"/>
      <c r="D737" s="83"/>
      <c r="E737" s="83"/>
      <c r="F737" s="83"/>
      <c r="G737" s="83"/>
      <c r="H737" s="84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14.25" customHeight="1">
      <c r="A738" s="90"/>
      <c r="B738" s="83"/>
      <c r="C738" s="83"/>
      <c r="D738" s="83"/>
      <c r="E738" s="83"/>
      <c r="F738" s="83"/>
      <c r="G738" s="83"/>
      <c r="H738" s="84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14.25" customHeight="1">
      <c r="A739" s="90"/>
      <c r="B739" s="83"/>
      <c r="C739" s="83"/>
      <c r="D739" s="83"/>
      <c r="E739" s="83"/>
      <c r="F739" s="83"/>
      <c r="G739" s="83"/>
      <c r="H739" s="84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14.25" customHeight="1">
      <c r="A740" s="90"/>
      <c r="B740" s="83"/>
      <c r="C740" s="83"/>
      <c r="D740" s="83"/>
      <c r="E740" s="83"/>
      <c r="F740" s="83"/>
      <c r="G740" s="83"/>
      <c r="H740" s="84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14.25" customHeight="1">
      <c r="A741" s="90"/>
      <c r="B741" s="83"/>
      <c r="C741" s="83"/>
      <c r="D741" s="83"/>
      <c r="E741" s="83"/>
      <c r="F741" s="83"/>
      <c r="G741" s="83"/>
      <c r="H741" s="84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14.25" customHeight="1">
      <c r="A742" s="90"/>
      <c r="B742" s="83"/>
      <c r="C742" s="83"/>
      <c r="D742" s="83"/>
      <c r="E742" s="83"/>
      <c r="F742" s="83"/>
      <c r="G742" s="83"/>
      <c r="H742" s="84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14.25" customHeight="1">
      <c r="A743" s="90"/>
      <c r="B743" s="83"/>
      <c r="C743" s="83"/>
      <c r="D743" s="83"/>
      <c r="E743" s="83"/>
      <c r="F743" s="83"/>
      <c r="G743" s="83"/>
      <c r="H743" s="84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14.25" customHeight="1">
      <c r="A744" s="90"/>
      <c r="B744" s="83"/>
      <c r="C744" s="83"/>
      <c r="D744" s="83"/>
      <c r="E744" s="83"/>
      <c r="F744" s="83"/>
      <c r="G744" s="83"/>
      <c r="H744" s="84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14.25" customHeight="1">
      <c r="A745" s="90"/>
      <c r="B745" s="83"/>
      <c r="C745" s="83"/>
      <c r="D745" s="83"/>
      <c r="E745" s="83"/>
      <c r="F745" s="83"/>
      <c r="G745" s="83"/>
      <c r="H745" s="84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14.25" customHeight="1">
      <c r="A746" s="90"/>
      <c r="B746" s="83"/>
      <c r="C746" s="83"/>
      <c r="D746" s="83"/>
      <c r="E746" s="83"/>
      <c r="F746" s="83"/>
      <c r="G746" s="83"/>
      <c r="H746" s="84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14.25" customHeight="1">
      <c r="A747" s="90"/>
      <c r="B747" s="83"/>
      <c r="C747" s="83"/>
      <c r="D747" s="83"/>
      <c r="E747" s="83"/>
      <c r="F747" s="83"/>
      <c r="G747" s="83"/>
      <c r="H747" s="84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14.25" customHeight="1">
      <c r="A748" s="90"/>
      <c r="B748" s="83"/>
      <c r="C748" s="83"/>
      <c r="D748" s="83"/>
      <c r="E748" s="83"/>
      <c r="F748" s="83"/>
      <c r="G748" s="83"/>
      <c r="H748" s="84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14.25" customHeight="1">
      <c r="A749" s="90"/>
      <c r="B749" s="83"/>
      <c r="C749" s="83"/>
      <c r="D749" s="83"/>
      <c r="E749" s="83"/>
      <c r="F749" s="83"/>
      <c r="G749" s="83"/>
      <c r="H749" s="84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14.25" customHeight="1">
      <c r="A750" s="90"/>
      <c r="B750" s="83"/>
      <c r="C750" s="83"/>
      <c r="D750" s="83"/>
      <c r="E750" s="83"/>
      <c r="F750" s="83"/>
      <c r="G750" s="83"/>
      <c r="H750" s="84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14.25" customHeight="1">
      <c r="A751" s="90"/>
      <c r="B751" s="83"/>
      <c r="C751" s="83"/>
      <c r="D751" s="83"/>
      <c r="E751" s="83"/>
      <c r="F751" s="83"/>
      <c r="G751" s="83"/>
      <c r="H751" s="84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14.25" customHeight="1">
      <c r="A752" s="90"/>
      <c r="B752" s="83"/>
      <c r="C752" s="83"/>
      <c r="D752" s="83"/>
      <c r="E752" s="83"/>
      <c r="F752" s="83"/>
      <c r="G752" s="83"/>
      <c r="H752" s="84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14.25" customHeight="1">
      <c r="A753" s="90"/>
      <c r="B753" s="83"/>
      <c r="C753" s="83"/>
      <c r="D753" s="83"/>
      <c r="E753" s="83"/>
      <c r="F753" s="83"/>
      <c r="G753" s="83"/>
      <c r="H753" s="84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14.25" customHeight="1">
      <c r="A754" s="90"/>
      <c r="B754" s="83"/>
      <c r="C754" s="83"/>
      <c r="D754" s="83"/>
      <c r="E754" s="83"/>
      <c r="F754" s="83"/>
      <c r="G754" s="83"/>
      <c r="H754" s="84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14.25" customHeight="1">
      <c r="A755" s="90"/>
      <c r="B755" s="83"/>
      <c r="C755" s="83"/>
      <c r="D755" s="83"/>
      <c r="E755" s="83"/>
      <c r="F755" s="83"/>
      <c r="G755" s="83"/>
      <c r="H755" s="84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14.25" customHeight="1">
      <c r="A756" s="90"/>
      <c r="B756" s="83"/>
      <c r="C756" s="83"/>
      <c r="D756" s="83"/>
      <c r="E756" s="83"/>
      <c r="F756" s="83"/>
      <c r="G756" s="83"/>
      <c r="H756" s="84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14.25" customHeight="1">
      <c r="A757" s="90"/>
      <c r="B757" s="83"/>
      <c r="C757" s="83"/>
      <c r="D757" s="83"/>
      <c r="E757" s="83"/>
      <c r="F757" s="83"/>
      <c r="G757" s="83"/>
      <c r="H757" s="84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14.25" customHeight="1">
      <c r="A758" s="90"/>
      <c r="B758" s="83"/>
      <c r="C758" s="83"/>
      <c r="D758" s="83"/>
      <c r="E758" s="83"/>
      <c r="F758" s="83"/>
      <c r="G758" s="83"/>
      <c r="H758" s="84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14.25" customHeight="1">
      <c r="A759" s="90"/>
      <c r="B759" s="83"/>
      <c r="C759" s="83"/>
      <c r="D759" s="83"/>
      <c r="E759" s="83"/>
      <c r="F759" s="83"/>
      <c r="G759" s="83"/>
      <c r="H759" s="84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14.25" customHeight="1">
      <c r="A760" s="90"/>
      <c r="B760" s="83"/>
      <c r="C760" s="83"/>
      <c r="D760" s="83"/>
      <c r="E760" s="83"/>
      <c r="F760" s="83"/>
      <c r="G760" s="83"/>
      <c r="H760" s="84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14.25" customHeight="1">
      <c r="A761" s="90"/>
      <c r="B761" s="83"/>
      <c r="C761" s="83"/>
      <c r="D761" s="83"/>
      <c r="E761" s="83"/>
      <c r="F761" s="83"/>
      <c r="G761" s="83"/>
      <c r="H761" s="84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14.25" customHeight="1">
      <c r="A762" s="90"/>
      <c r="B762" s="83"/>
      <c r="C762" s="83"/>
      <c r="D762" s="83"/>
      <c r="E762" s="83"/>
      <c r="F762" s="83"/>
      <c r="G762" s="83"/>
      <c r="H762" s="84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14.25" customHeight="1">
      <c r="A763" s="90"/>
      <c r="B763" s="83"/>
      <c r="C763" s="83"/>
      <c r="D763" s="83"/>
      <c r="E763" s="83"/>
      <c r="F763" s="83"/>
      <c r="G763" s="83"/>
      <c r="H763" s="84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14.25" customHeight="1">
      <c r="A764" s="90"/>
      <c r="B764" s="83"/>
      <c r="C764" s="83"/>
      <c r="D764" s="83"/>
      <c r="E764" s="83"/>
      <c r="F764" s="83"/>
      <c r="G764" s="83"/>
      <c r="H764" s="84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14.25" customHeight="1">
      <c r="A765" s="90"/>
      <c r="B765" s="83"/>
      <c r="C765" s="83"/>
      <c r="D765" s="83"/>
      <c r="E765" s="83"/>
      <c r="F765" s="83"/>
      <c r="G765" s="83"/>
      <c r="H765" s="84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14.25" customHeight="1">
      <c r="A766" s="90"/>
      <c r="B766" s="83"/>
      <c r="C766" s="83"/>
      <c r="D766" s="83"/>
      <c r="E766" s="83"/>
      <c r="F766" s="83"/>
      <c r="G766" s="83"/>
      <c r="H766" s="84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14.25" customHeight="1">
      <c r="A767" s="90"/>
      <c r="B767" s="83"/>
      <c r="C767" s="83"/>
      <c r="D767" s="83"/>
      <c r="E767" s="83"/>
      <c r="F767" s="83"/>
      <c r="G767" s="83"/>
      <c r="H767" s="84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14.25" customHeight="1">
      <c r="A768" s="90"/>
      <c r="B768" s="83"/>
      <c r="C768" s="83"/>
      <c r="D768" s="83"/>
      <c r="E768" s="83"/>
      <c r="F768" s="83"/>
      <c r="G768" s="83"/>
      <c r="H768" s="84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14.25" customHeight="1">
      <c r="A769" s="90"/>
      <c r="B769" s="83"/>
      <c r="C769" s="83"/>
      <c r="D769" s="83"/>
      <c r="E769" s="83"/>
      <c r="F769" s="83"/>
      <c r="G769" s="83"/>
      <c r="H769" s="84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14.25" customHeight="1">
      <c r="A770" s="90"/>
      <c r="B770" s="83"/>
      <c r="C770" s="83"/>
      <c r="D770" s="83"/>
      <c r="E770" s="83"/>
      <c r="F770" s="83"/>
      <c r="G770" s="83"/>
      <c r="H770" s="84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14.25" customHeight="1">
      <c r="A771" s="90"/>
      <c r="B771" s="83"/>
      <c r="C771" s="83"/>
      <c r="D771" s="83"/>
      <c r="E771" s="83"/>
      <c r="F771" s="83"/>
      <c r="G771" s="83"/>
      <c r="H771" s="84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14.25" customHeight="1">
      <c r="A772" s="90"/>
      <c r="B772" s="83"/>
      <c r="C772" s="83"/>
      <c r="D772" s="83"/>
      <c r="E772" s="83"/>
      <c r="F772" s="83"/>
      <c r="G772" s="83"/>
      <c r="H772" s="84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14.25" customHeight="1">
      <c r="A773" s="90"/>
      <c r="B773" s="83"/>
      <c r="C773" s="83"/>
      <c r="D773" s="83"/>
      <c r="E773" s="83"/>
      <c r="F773" s="83"/>
      <c r="G773" s="83"/>
      <c r="H773" s="84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14.25" customHeight="1">
      <c r="A774" s="90"/>
      <c r="B774" s="83"/>
      <c r="C774" s="83"/>
      <c r="D774" s="83"/>
      <c r="E774" s="83"/>
      <c r="F774" s="83"/>
      <c r="G774" s="83"/>
      <c r="H774" s="84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14.25" customHeight="1">
      <c r="A775" s="90"/>
      <c r="B775" s="83"/>
      <c r="C775" s="83"/>
      <c r="D775" s="83"/>
      <c r="E775" s="83"/>
      <c r="F775" s="83"/>
      <c r="G775" s="83"/>
      <c r="H775" s="84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14.25" customHeight="1">
      <c r="A776" s="90"/>
      <c r="B776" s="83"/>
      <c r="C776" s="83"/>
      <c r="D776" s="83"/>
      <c r="E776" s="83"/>
      <c r="F776" s="83"/>
      <c r="G776" s="83"/>
      <c r="H776" s="84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14.25" customHeight="1">
      <c r="A777" s="90"/>
      <c r="B777" s="83"/>
      <c r="C777" s="83"/>
      <c r="D777" s="83"/>
      <c r="E777" s="83"/>
      <c r="F777" s="83"/>
      <c r="G777" s="83"/>
      <c r="H777" s="84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14.25" customHeight="1">
      <c r="A778" s="90"/>
      <c r="B778" s="83"/>
      <c r="C778" s="83"/>
      <c r="D778" s="83"/>
      <c r="E778" s="83"/>
      <c r="F778" s="83"/>
      <c r="G778" s="83"/>
      <c r="H778" s="84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14.25" customHeight="1">
      <c r="A779" s="90"/>
      <c r="B779" s="83"/>
      <c r="C779" s="83"/>
      <c r="D779" s="83"/>
      <c r="E779" s="83"/>
      <c r="F779" s="83"/>
      <c r="G779" s="83"/>
      <c r="H779" s="84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14.25" customHeight="1">
      <c r="A780" s="90"/>
      <c r="B780" s="83"/>
      <c r="C780" s="83"/>
      <c r="D780" s="83"/>
      <c r="E780" s="83"/>
      <c r="F780" s="83"/>
      <c r="G780" s="83"/>
      <c r="H780" s="84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14.25" customHeight="1">
      <c r="A781" s="90"/>
      <c r="B781" s="83"/>
      <c r="C781" s="83"/>
      <c r="D781" s="83"/>
      <c r="E781" s="83"/>
      <c r="F781" s="83"/>
      <c r="G781" s="83"/>
      <c r="H781" s="84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14.25" customHeight="1">
      <c r="A782" s="90"/>
      <c r="B782" s="83"/>
      <c r="C782" s="83"/>
      <c r="D782" s="83"/>
      <c r="E782" s="83"/>
      <c r="F782" s="83"/>
      <c r="G782" s="83"/>
      <c r="H782" s="84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14.25" customHeight="1">
      <c r="A783" s="90"/>
      <c r="B783" s="83"/>
      <c r="C783" s="83"/>
      <c r="D783" s="83"/>
      <c r="E783" s="83"/>
      <c r="F783" s="83"/>
      <c r="G783" s="83"/>
      <c r="H783" s="84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14.25" customHeight="1">
      <c r="A784" s="90"/>
      <c r="B784" s="83"/>
      <c r="C784" s="83"/>
      <c r="D784" s="83"/>
      <c r="E784" s="83"/>
      <c r="F784" s="83"/>
      <c r="G784" s="83"/>
      <c r="H784" s="84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14.25" customHeight="1">
      <c r="A785" s="90"/>
      <c r="B785" s="83"/>
      <c r="C785" s="83"/>
      <c r="D785" s="83"/>
      <c r="E785" s="83"/>
      <c r="F785" s="83"/>
      <c r="G785" s="83"/>
      <c r="H785" s="84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14.25" customHeight="1">
      <c r="A786" s="90"/>
      <c r="B786" s="83"/>
      <c r="C786" s="83"/>
      <c r="D786" s="83"/>
      <c r="E786" s="83"/>
      <c r="F786" s="83"/>
      <c r="G786" s="83"/>
      <c r="H786" s="84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14.25" customHeight="1">
      <c r="A787" s="90"/>
      <c r="B787" s="83"/>
      <c r="C787" s="83"/>
      <c r="D787" s="83"/>
      <c r="E787" s="83"/>
      <c r="F787" s="83"/>
      <c r="G787" s="83"/>
      <c r="H787" s="84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14.25" customHeight="1">
      <c r="A788" s="90"/>
      <c r="B788" s="83"/>
      <c r="C788" s="83"/>
      <c r="D788" s="83"/>
      <c r="E788" s="83"/>
      <c r="F788" s="83"/>
      <c r="G788" s="83"/>
      <c r="H788" s="84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14.25" customHeight="1">
      <c r="A789" s="90"/>
      <c r="B789" s="83"/>
      <c r="C789" s="83"/>
      <c r="D789" s="83"/>
      <c r="E789" s="83"/>
      <c r="F789" s="83"/>
      <c r="G789" s="83"/>
      <c r="H789" s="84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14.25" customHeight="1">
      <c r="A790" s="90"/>
      <c r="B790" s="83"/>
      <c r="C790" s="83"/>
      <c r="D790" s="83"/>
      <c r="E790" s="83"/>
      <c r="F790" s="83"/>
      <c r="G790" s="83"/>
      <c r="H790" s="84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14.25" customHeight="1">
      <c r="A791" s="90"/>
      <c r="B791" s="83"/>
      <c r="C791" s="83"/>
      <c r="D791" s="83"/>
      <c r="E791" s="83"/>
      <c r="F791" s="83"/>
      <c r="G791" s="83"/>
      <c r="H791" s="84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14.25" customHeight="1">
      <c r="A792" s="90"/>
      <c r="B792" s="83"/>
      <c r="C792" s="83"/>
      <c r="D792" s="83"/>
      <c r="E792" s="83"/>
      <c r="F792" s="83"/>
      <c r="G792" s="83"/>
      <c r="H792" s="84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14.25" customHeight="1">
      <c r="A793" s="90"/>
      <c r="B793" s="83"/>
      <c r="C793" s="83"/>
      <c r="D793" s="83"/>
      <c r="E793" s="83"/>
      <c r="F793" s="83"/>
      <c r="G793" s="83"/>
      <c r="H793" s="84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14.25" customHeight="1">
      <c r="A794" s="90"/>
      <c r="B794" s="83"/>
      <c r="C794" s="83"/>
      <c r="D794" s="83"/>
      <c r="E794" s="83"/>
      <c r="F794" s="83"/>
      <c r="G794" s="83"/>
      <c r="H794" s="84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14.25" customHeight="1">
      <c r="A795" s="90"/>
      <c r="B795" s="83"/>
      <c r="C795" s="83"/>
      <c r="D795" s="83"/>
      <c r="E795" s="83"/>
      <c r="F795" s="83"/>
      <c r="G795" s="83"/>
      <c r="H795" s="84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14.25" customHeight="1">
      <c r="A796" s="90"/>
      <c r="B796" s="83"/>
      <c r="C796" s="83"/>
      <c r="D796" s="83"/>
      <c r="E796" s="83"/>
      <c r="F796" s="83"/>
      <c r="G796" s="83"/>
      <c r="H796" s="84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14.25" customHeight="1">
      <c r="A797" s="90"/>
      <c r="B797" s="83"/>
      <c r="C797" s="83"/>
      <c r="D797" s="83"/>
      <c r="E797" s="83"/>
      <c r="F797" s="83"/>
      <c r="G797" s="83"/>
      <c r="H797" s="84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14.25" customHeight="1">
      <c r="A798" s="90"/>
      <c r="B798" s="83"/>
      <c r="C798" s="83"/>
      <c r="D798" s="83"/>
      <c r="E798" s="83"/>
      <c r="F798" s="83"/>
      <c r="G798" s="83"/>
      <c r="H798" s="84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14.25" customHeight="1">
      <c r="A799" s="90"/>
      <c r="B799" s="83"/>
      <c r="C799" s="83"/>
      <c r="D799" s="83"/>
      <c r="E799" s="83"/>
      <c r="F799" s="83"/>
      <c r="G799" s="83"/>
      <c r="H799" s="84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14.25" customHeight="1">
      <c r="A800" s="90"/>
      <c r="B800" s="83"/>
      <c r="C800" s="83"/>
      <c r="D800" s="83"/>
      <c r="E800" s="83"/>
      <c r="F800" s="83"/>
      <c r="G800" s="83"/>
      <c r="H800" s="84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14.25" customHeight="1">
      <c r="A801" s="90"/>
      <c r="B801" s="83"/>
      <c r="C801" s="83"/>
      <c r="D801" s="83"/>
      <c r="E801" s="83"/>
      <c r="F801" s="83"/>
      <c r="G801" s="83"/>
      <c r="H801" s="84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14.25" customHeight="1">
      <c r="A802" s="90"/>
      <c r="B802" s="83"/>
      <c r="C802" s="83"/>
      <c r="D802" s="83"/>
      <c r="E802" s="83"/>
      <c r="F802" s="83"/>
      <c r="G802" s="83"/>
      <c r="H802" s="84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14.25" customHeight="1">
      <c r="A803" s="90"/>
      <c r="B803" s="83"/>
      <c r="C803" s="83"/>
      <c r="D803" s="83"/>
      <c r="E803" s="83"/>
      <c r="F803" s="83"/>
      <c r="G803" s="83"/>
      <c r="H803" s="84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14.25" customHeight="1">
      <c r="A804" s="90"/>
      <c r="B804" s="83"/>
      <c r="C804" s="83"/>
      <c r="D804" s="83"/>
      <c r="E804" s="83"/>
      <c r="F804" s="83"/>
      <c r="G804" s="83"/>
      <c r="H804" s="84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14.25" customHeight="1">
      <c r="A805" s="90"/>
      <c r="B805" s="83"/>
      <c r="C805" s="83"/>
      <c r="D805" s="83"/>
      <c r="E805" s="83"/>
      <c r="F805" s="83"/>
      <c r="G805" s="83"/>
      <c r="H805" s="84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14.25" customHeight="1">
      <c r="A806" s="90"/>
      <c r="B806" s="83"/>
      <c r="C806" s="83"/>
      <c r="D806" s="83"/>
      <c r="E806" s="83"/>
      <c r="F806" s="83"/>
      <c r="G806" s="83"/>
      <c r="H806" s="84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14.25" customHeight="1">
      <c r="A807" s="90"/>
      <c r="B807" s="83"/>
      <c r="C807" s="83"/>
      <c r="D807" s="83"/>
      <c r="E807" s="83"/>
      <c r="F807" s="83"/>
      <c r="G807" s="83"/>
      <c r="H807" s="84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14.25" customHeight="1">
      <c r="A808" s="90"/>
      <c r="B808" s="83"/>
      <c r="C808" s="83"/>
      <c r="D808" s="83"/>
      <c r="E808" s="83"/>
      <c r="F808" s="83"/>
      <c r="G808" s="83"/>
      <c r="H808" s="84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14.25" customHeight="1">
      <c r="A809" s="90"/>
      <c r="B809" s="83"/>
      <c r="C809" s="83"/>
      <c r="D809" s="83"/>
      <c r="E809" s="83"/>
      <c r="F809" s="83"/>
      <c r="G809" s="83"/>
      <c r="H809" s="84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14.25" customHeight="1">
      <c r="A810" s="90"/>
      <c r="B810" s="83"/>
      <c r="C810" s="83"/>
      <c r="D810" s="83"/>
      <c r="E810" s="83"/>
      <c r="F810" s="83"/>
      <c r="G810" s="83"/>
      <c r="H810" s="84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14.25" customHeight="1">
      <c r="A811" s="90"/>
      <c r="B811" s="83"/>
      <c r="C811" s="83"/>
      <c r="D811" s="83"/>
      <c r="E811" s="83"/>
      <c r="F811" s="83"/>
      <c r="G811" s="83"/>
      <c r="H811" s="84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14.25" customHeight="1">
      <c r="A812" s="90"/>
      <c r="B812" s="83"/>
      <c r="C812" s="83"/>
      <c r="D812" s="83"/>
      <c r="E812" s="83"/>
      <c r="F812" s="83"/>
      <c r="G812" s="83"/>
      <c r="H812" s="84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14.25" customHeight="1">
      <c r="A813" s="90"/>
      <c r="B813" s="83"/>
      <c r="C813" s="83"/>
      <c r="D813" s="83"/>
      <c r="E813" s="83"/>
      <c r="F813" s="83"/>
      <c r="G813" s="83"/>
      <c r="H813" s="84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14.25" customHeight="1">
      <c r="A814" s="90"/>
      <c r="B814" s="83"/>
      <c r="C814" s="83"/>
      <c r="D814" s="83"/>
      <c r="E814" s="83"/>
      <c r="F814" s="83"/>
      <c r="G814" s="83"/>
      <c r="H814" s="84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14.25" customHeight="1">
      <c r="A815" s="90"/>
      <c r="B815" s="83"/>
      <c r="C815" s="83"/>
      <c r="D815" s="83"/>
      <c r="E815" s="83"/>
      <c r="F815" s="83"/>
      <c r="G815" s="83"/>
      <c r="H815" s="84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14.25" customHeight="1">
      <c r="A816" s="90"/>
      <c r="B816" s="83"/>
      <c r="C816" s="83"/>
      <c r="D816" s="83"/>
      <c r="E816" s="83"/>
      <c r="F816" s="83"/>
      <c r="G816" s="83"/>
      <c r="H816" s="84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14.25" customHeight="1">
      <c r="A817" s="90"/>
      <c r="B817" s="83"/>
      <c r="C817" s="83"/>
      <c r="D817" s="83"/>
      <c r="E817" s="83"/>
      <c r="F817" s="83"/>
      <c r="G817" s="83"/>
      <c r="H817" s="84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14.25" customHeight="1">
      <c r="A818" s="90"/>
      <c r="B818" s="83"/>
      <c r="C818" s="83"/>
      <c r="D818" s="83"/>
      <c r="E818" s="83"/>
      <c r="F818" s="83"/>
      <c r="G818" s="83"/>
      <c r="H818" s="84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14.25" customHeight="1">
      <c r="A819" s="90"/>
      <c r="B819" s="83"/>
      <c r="C819" s="83"/>
      <c r="D819" s="83"/>
      <c r="E819" s="83"/>
      <c r="F819" s="83"/>
      <c r="G819" s="83"/>
      <c r="H819" s="84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14.25" customHeight="1">
      <c r="A820" s="90"/>
      <c r="B820" s="83"/>
      <c r="C820" s="83"/>
      <c r="D820" s="83"/>
      <c r="E820" s="83"/>
      <c r="F820" s="83"/>
      <c r="G820" s="83"/>
      <c r="H820" s="84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14.25" customHeight="1">
      <c r="A821" s="90"/>
      <c r="B821" s="83"/>
      <c r="C821" s="83"/>
      <c r="D821" s="83"/>
      <c r="E821" s="83"/>
      <c r="F821" s="83"/>
      <c r="G821" s="83"/>
      <c r="H821" s="84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14.25" customHeight="1">
      <c r="A822" s="90"/>
      <c r="B822" s="83"/>
      <c r="C822" s="83"/>
      <c r="D822" s="83"/>
      <c r="E822" s="83"/>
      <c r="F822" s="83"/>
      <c r="G822" s="83"/>
      <c r="H822" s="84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14.25" customHeight="1">
      <c r="A823" s="90"/>
      <c r="B823" s="83"/>
      <c r="C823" s="83"/>
      <c r="D823" s="83"/>
      <c r="E823" s="83"/>
      <c r="F823" s="83"/>
      <c r="G823" s="83"/>
      <c r="H823" s="84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14.25" customHeight="1">
      <c r="A824" s="90"/>
      <c r="B824" s="83"/>
      <c r="C824" s="83"/>
      <c r="D824" s="83"/>
      <c r="E824" s="83"/>
      <c r="F824" s="83"/>
      <c r="G824" s="83"/>
      <c r="H824" s="84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14.25" customHeight="1">
      <c r="A825" s="90"/>
      <c r="B825" s="83"/>
      <c r="C825" s="83"/>
      <c r="D825" s="83"/>
      <c r="E825" s="83"/>
      <c r="F825" s="83"/>
      <c r="G825" s="83"/>
      <c r="H825" s="84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14.25" customHeight="1">
      <c r="A826" s="90"/>
      <c r="B826" s="83"/>
      <c r="C826" s="83"/>
      <c r="D826" s="83"/>
      <c r="E826" s="83"/>
      <c r="F826" s="83"/>
      <c r="G826" s="83"/>
      <c r="H826" s="84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14.25" customHeight="1">
      <c r="A827" s="90"/>
      <c r="B827" s="83"/>
      <c r="C827" s="83"/>
      <c r="D827" s="83"/>
      <c r="E827" s="83"/>
      <c r="F827" s="83"/>
      <c r="G827" s="83"/>
      <c r="H827" s="84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14.25" customHeight="1">
      <c r="A828" s="90"/>
      <c r="B828" s="83"/>
      <c r="C828" s="83"/>
      <c r="D828" s="83"/>
      <c r="E828" s="83"/>
      <c r="F828" s="83"/>
      <c r="G828" s="83"/>
      <c r="H828" s="84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14.25" customHeight="1">
      <c r="A829" s="90"/>
      <c r="B829" s="83"/>
      <c r="C829" s="83"/>
      <c r="D829" s="83"/>
      <c r="E829" s="83"/>
      <c r="F829" s="83"/>
      <c r="G829" s="83"/>
      <c r="H829" s="84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14.25" customHeight="1">
      <c r="A830" s="90"/>
      <c r="B830" s="83"/>
      <c r="C830" s="83"/>
      <c r="D830" s="83"/>
      <c r="E830" s="83"/>
      <c r="F830" s="83"/>
      <c r="G830" s="83"/>
      <c r="H830" s="84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14.25" customHeight="1">
      <c r="A831" s="90"/>
      <c r="B831" s="83"/>
      <c r="C831" s="83"/>
      <c r="D831" s="83"/>
      <c r="E831" s="83"/>
      <c r="F831" s="83"/>
      <c r="G831" s="83"/>
      <c r="H831" s="84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14.25" customHeight="1">
      <c r="A832" s="90"/>
      <c r="B832" s="83"/>
      <c r="C832" s="83"/>
      <c r="D832" s="83"/>
      <c r="E832" s="83"/>
      <c r="F832" s="83"/>
      <c r="G832" s="83"/>
      <c r="H832" s="84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14.25" customHeight="1">
      <c r="A833" s="90"/>
      <c r="B833" s="83"/>
      <c r="C833" s="83"/>
      <c r="D833" s="83"/>
      <c r="E833" s="83"/>
      <c r="F833" s="83"/>
      <c r="G833" s="83"/>
      <c r="H833" s="84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14.25" customHeight="1">
      <c r="A834" s="90"/>
      <c r="B834" s="83"/>
      <c r="C834" s="83"/>
      <c r="D834" s="83"/>
      <c r="E834" s="83"/>
      <c r="F834" s="83"/>
      <c r="G834" s="83"/>
      <c r="H834" s="84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14.25" customHeight="1">
      <c r="A835" s="90"/>
      <c r="B835" s="83"/>
      <c r="C835" s="83"/>
      <c r="D835" s="83"/>
      <c r="E835" s="83"/>
      <c r="F835" s="83"/>
      <c r="G835" s="83"/>
      <c r="H835" s="84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14.25" customHeight="1">
      <c r="A836" s="90"/>
      <c r="B836" s="83"/>
      <c r="C836" s="83"/>
      <c r="D836" s="83"/>
      <c r="E836" s="83"/>
      <c r="F836" s="83"/>
      <c r="G836" s="83"/>
      <c r="H836" s="84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14.25" customHeight="1">
      <c r="A837" s="90"/>
      <c r="B837" s="83"/>
      <c r="C837" s="83"/>
      <c r="D837" s="83"/>
      <c r="E837" s="83"/>
      <c r="F837" s="83"/>
      <c r="G837" s="83"/>
      <c r="H837" s="84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14.25" customHeight="1">
      <c r="A838" s="90"/>
      <c r="B838" s="83"/>
      <c r="C838" s="83"/>
      <c r="D838" s="83"/>
      <c r="E838" s="83"/>
      <c r="F838" s="83"/>
      <c r="G838" s="83"/>
      <c r="H838" s="84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14.25" customHeight="1">
      <c r="A839" s="90"/>
      <c r="B839" s="83"/>
      <c r="C839" s="83"/>
      <c r="D839" s="83"/>
      <c r="E839" s="83"/>
      <c r="F839" s="83"/>
      <c r="G839" s="83"/>
      <c r="H839" s="84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14.25" customHeight="1">
      <c r="A840" s="90"/>
      <c r="B840" s="83"/>
      <c r="C840" s="83"/>
      <c r="D840" s="83"/>
      <c r="E840" s="83"/>
      <c r="F840" s="83"/>
      <c r="G840" s="83"/>
      <c r="H840" s="84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14.25" customHeight="1">
      <c r="A841" s="90"/>
      <c r="B841" s="83"/>
      <c r="C841" s="83"/>
      <c r="D841" s="83"/>
      <c r="E841" s="83"/>
      <c r="F841" s="83"/>
      <c r="G841" s="83"/>
      <c r="H841" s="84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14.25" customHeight="1">
      <c r="A842" s="90"/>
      <c r="B842" s="83"/>
      <c r="C842" s="83"/>
      <c r="D842" s="83"/>
      <c r="E842" s="83"/>
      <c r="F842" s="83"/>
      <c r="G842" s="83"/>
      <c r="H842" s="84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14.25" customHeight="1">
      <c r="A843" s="90"/>
      <c r="B843" s="83"/>
      <c r="C843" s="83"/>
      <c r="D843" s="83"/>
      <c r="E843" s="83"/>
      <c r="F843" s="83"/>
      <c r="G843" s="83"/>
      <c r="H843" s="84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14.25" customHeight="1">
      <c r="A844" s="90"/>
      <c r="B844" s="83"/>
      <c r="C844" s="83"/>
      <c r="D844" s="83"/>
      <c r="E844" s="83"/>
      <c r="F844" s="83"/>
      <c r="G844" s="83"/>
      <c r="H844" s="84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14.25" customHeight="1">
      <c r="A845" s="90"/>
      <c r="B845" s="83"/>
      <c r="C845" s="83"/>
      <c r="D845" s="83"/>
      <c r="E845" s="83"/>
      <c r="F845" s="83"/>
      <c r="G845" s="83"/>
      <c r="H845" s="84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14.25" customHeight="1">
      <c r="A846" s="90"/>
      <c r="B846" s="83"/>
      <c r="C846" s="83"/>
      <c r="D846" s="83"/>
      <c r="E846" s="83"/>
      <c r="F846" s="83"/>
      <c r="G846" s="83"/>
      <c r="H846" s="84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14.25" customHeight="1">
      <c r="A847" s="90"/>
      <c r="B847" s="83"/>
      <c r="C847" s="83"/>
      <c r="D847" s="83"/>
      <c r="E847" s="83"/>
      <c r="F847" s="83"/>
      <c r="G847" s="83"/>
      <c r="H847" s="84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14.25" customHeight="1">
      <c r="A848" s="90"/>
      <c r="B848" s="83"/>
      <c r="C848" s="83"/>
      <c r="D848" s="83"/>
      <c r="E848" s="83"/>
      <c r="F848" s="83"/>
      <c r="G848" s="83"/>
      <c r="H848" s="84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14.25" customHeight="1">
      <c r="A849" s="90"/>
      <c r="B849" s="83"/>
      <c r="C849" s="83"/>
      <c r="D849" s="83"/>
      <c r="E849" s="83"/>
      <c r="F849" s="83"/>
      <c r="G849" s="83"/>
      <c r="H849" s="84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14.25" customHeight="1">
      <c r="A850" s="90"/>
      <c r="B850" s="83"/>
      <c r="C850" s="83"/>
      <c r="D850" s="83"/>
      <c r="E850" s="83"/>
      <c r="F850" s="83"/>
      <c r="G850" s="83"/>
      <c r="H850" s="84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14.25" customHeight="1">
      <c r="A851" s="90"/>
      <c r="B851" s="83"/>
      <c r="C851" s="83"/>
      <c r="D851" s="83"/>
      <c r="E851" s="83"/>
      <c r="F851" s="83"/>
      <c r="G851" s="83"/>
      <c r="H851" s="84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14.25" customHeight="1">
      <c r="A852" s="90"/>
      <c r="B852" s="83"/>
      <c r="C852" s="83"/>
      <c r="D852" s="83"/>
      <c r="E852" s="83"/>
      <c r="F852" s="83"/>
      <c r="G852" s="83"/>
      <c r="H852" s="84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14.25" customHeight="1">
      <c r="A853" s="90"/>
      <c r="B853" s="83"/>
      <c r="C853" s="83"/>
      <c r="D853" s="83"/>
      <c r="E853" s="83"/>
      <c r="F853" s="83"/>
      <c r="G853" s="83"/>
      <c r="H853" s="84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14.25" customHeight="1">
      <c r="A854" s="90"/>
      <c r="B854" s="83"/>
      <c r="C854" s="83"/>
      <c r="D854" s="83"/>
      <c r="E854" s="83"/>
      <c r="F854" s="83"/>
      <c r="G854" s="83"/>
      <c r="H854" s="84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14.25" customHeight="1">
      <c r="A855" s="90"/>
      <c r="B855" s="83"/>
      <c r="C855" s="83"/>
      <c r="D855" s="83"/>
      <c r="E855" s="83"/>
      <c r="F855" s="83"/>
      <c r="G855" s="83"/>
      <c r="H855" s="84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14.25" customHeight="1">
      <c r="A856" s="90"/>
      <c r="B856" s="83"/>
      <c r="C856" s="83"/>
      <c r="D856" s="83"/>
      <c r="E856" s="83"/>
      <c r="F856" s="83"/>
      <c r="G856" s="83"/>
      <c r="H856" s="84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14.25" customHeight="1">
      <c r="A857" s="90"/>
      <c r="B857" s="83"/>
      <c r="C857" s="83"/>
      <c r="D857" s="83"/>
      <c r="E857" s="83"/>
      <c r="F857" s="83"/>
      <c r="G857" s="83"/>
      <c r="H857" s="84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14.25" customHeight="1">
      <c r="A858" s="90"/>
      <c r="B858" s="83"/>
      <c r="C858" s="83"/>
      <c r="D858" s="83"/>
      <c r="E858" s="83"/>
      <c r="F858" s="83"/>
      <c r="G858" s="83"/>
      <c r="H858" s="84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14.25" customHeight="1">
      <c r="A859" s="90"/>
      <c r="B859" s="83"/>
      <c r="C859" s="83"/>
      <c r="D859" s="83"/>
      <c r="E859" s="83"/>
      <c r="F859" s="83"/>
      <c r="G859" s="83"/>
      <c r="H859" s="84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14.25" customHeight="1">
      <c r="A860" s="90"/>
      <c r="B860" s="83"/>
      <c r="C860" s="83"/>
      <c r="D860" s="83"/>
      <c r="E860" s="83"/>
      <c r="F860" s="83"/>
      <c r="G860" s="83"/>
      <c r="H860" s="84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14.25" customHeight="1">
      <c r="A861" s="90"/>
      <c r="B861" s="83"/>
      <c r="C861" s="83"/>
      <c r="D861" s="83"/>
      <c r="E861" s="83"/>
      <c r="F861" s="83"/>
      <c r="G861" s="83"/>
      <c r="H861" s="84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14.25" customHeight="1">
      <c r="A862" s="90"/>
      <c r="B862" s="83"/>
      <c r="C862" s="83"/>
      <c r="D862" s="83"/>
      <c r="E862" s="83"/>
      <c r="F862" s="83"/>
      <c r="G862" s="83"/>
      <c r="H862" s="84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14.25" customHeight="1">
      <c r="A863" s="90"/>
      <c r="B863" s="83"/>
      <c r="C863" s="83"/>
      <c r="D863" s="83"/>
      <c r="E863" s="83"/>
      <c r="F863" s="83"/>
      <c r="G863" s="83"/>
      <c r="H863" s="84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14.25" customHeight="1">
      <c r="A864" s="90"/>
      <c r="B864" s="83"/>
      <c r="C864" s="83"/>
      <c r="D864" s="83"/>
      <c r="E864" s="83"/>
      <c r="F864" s="83"/>
      <c r="G864" s="83"/>
      <c r="H864" s="84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14.25" customHeight="1">
      <c r="A865" s="90"/>
      <c r="B865" s="83"/>
      <c r="C865" s="83"/>
      <c r="D865" s="83"/>
      <c r="E865" s="83"/>
      <c r="F865" s="83"/>
      <c r="G865" s="83"/>
      <c r="H865" s="84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14.25" customHeight="1">
      <c r="A866" s="90"/>
      <c r="B866" s="83"/>
      <c r="C866" s="83"/>
      <c r="D866" s="83"/>
      <c r="E866" s="83"/>
      <c r="F866" s="83"/>
      <c r="G866" s="83"/>
      <c r="H866" s="84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14.25" customHeight="1">
      <c r="A867" s="90"/>
      <c r="B867" s="83"/>
      <c r="C867" s="83"/>
      <c r="D867" s="83"/>
      <c r="E867" s="83"/>
      <c r="F867" s="83"/>
      <c r="G867" s="83"/>
      <c r="H867" s="84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14.25" customHeight="1">
      <c r="A868" s="90"/>
      <c r="B868" s="83"/>
      <c r="C868" s="83"/>
      <c r="D868" s="83"/>
      <c r="E868" s="83"/>
      <c r="F868" s="83"/>
      <c r="G868" s="83"/>
      <c r="H868" s="84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14.25" customHeight="1">
      <c r="A869" s="90"/>
      <c r="B869" s="83"/>
      <c r="C869" s="83"/>
      <c r="D869" s="83"/>
      <c r="E869" s="83"/>
      <c r="F869" s="83"/>
      <c r="G869" s="83"/>
      <c r="H869" s="84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14.25" customHeight="1">
      <c r="A870" s="90"/>
      <c r="B870" s="83"/>
      <c r="C870" s="83"/>
      <c r="D870" s="83"/>
      <c r="E870" s="83"/>
      <c r="F870" s="83"/>
      <c r="G870" s="83"/>
      <c r="H870" s="84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14.25" customHeight="1">
      <c r="A871" s="90"/>
      <c r="B871" s="83"/>
      <c r="C871" s="83"/>
      <c r="D871" s="83"/>
      <c r="E871" s="83"/>
      <c r="F871" s="83"/>
      <c r="G871" s="83"/>
      <c r="H871" s="84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14.25" customHeight="1">
      <c r="A872" s="90"/>
      <c r="B872" s="83"/>
      <c r="C872" s="83"/>
      <c r="D872" s="83"/>
      <c r="E872" s="83"/>
      <c r="F872" s="83"/>
      <c r="G872" s="83"/>
      <c r="H872" s="84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14.25" customHeight="1">
      <c r="A873" s="90"/>
      <c r="B873" s="83"/>
      <c r="C873" s="83"/>
      <c r="D873" s="83"/>
      <c r="E873" s="83"/>
      <c r="F873" s="83"/>
      <c r="G873" s="83"/>
      <c r="H873" s="84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14.25" customHeight="1">
      <c r="A874" s="90"/>
      <c r="B874" s="83"/>
      <c r="C874" s="83"/>
      <c r="D874" s="83"/>
      <c r="E874" s="83"/>
      <c r="F874" s="83"/>
      <c r="G874" s="83"/>
      <c r="H874" s="84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14.25" customHeight="1">
      <c r="A875" s="90"/>
      <c r="B875" s="83"/>
      <c r="C875" s="83"/>
      <c r="D875" s="83"/>
      <c r="E875" s="83"/>
      <c r="F875" s="83"/>
      <c r="G875" s="83"/>
      <c r="H875" s="84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14.25" customHeight="1">
      <c r="A876" s="90"/>
      <c r="B876" s="83"/>
      <c r="C876" s="83"/>
      <c r="D876" s="83"/>
      <c r="E876" s="83"/>
      <c r="F876" s="83"/>
      <c r="G876" s="83"/>
      <c r="H876" s="84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14.25" customHeight="1">
      <c r="A877" s="90"/>
      <c r="B877" s="83"/>
      <c r="C877" s="83"/>
      <c r="D877" s="83"/>
      <c r="E877" s="83"/>
      <c r="F877" s="83"/>
      <c r="G877" s="83"/>
      <c r="H877" s="84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14.25" customHeight="1">
      <c r="A878" s="90"/>
      <c r="B878" s="83"/>
      <c r="C878" s="83"/>
      <c r="D878" s="83"/>
      <c r="E878" s="83"/>
      <c r="F878" s="83"/>
      <c r="G878" s="83"/>
      <c r="H878" s="84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14.25" customHeight="1">
      <c r="A879" s="90"/>
      <c r="B879" s="83"/>
      <c r="C879" s="83"/>
      <c r="D879" s="83"/>
      <c r="E879" s="83"/>
      <c r="F879" s="83"/>
      <c r="G879" s="83"/>
      <c r="H879" s="84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14.25" customHeight="1">
      <c r="A880" s="90"/>
      <c r="B880" s="83"/>
      <c r="C880" s="83"/>
      <c r="D880" s="83"/>
      <c r="E880" s="83"/>
      <c r="F880" s="83"/>
      <c r="G880" s="83"/>
      <c r="H880" s="84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14.25" customHeight="1">
      <c r="A881" s="90"/>
      <c r="B881" s="83"/>
      <c r="C881" s="83"/>
      <c r="D881" s="83"/>
      <c r="E881" s="83"/>
      <c r="F881" s="83"/>
      <c r="G881" s="83"/>
      <c r="H881" s="84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14.25" customHeight="1">
      <c r="A882" s="90"/>
      <c r="B882" s="83"/>
      <c r="C882" s="83"/>
      <c r="D882" s="83"/>
      <c r="E882" s="83"/>
      <c r="F882" s="83"/>
      <c r="G882" s="83"/>
      <c r="H882" s="84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14.25" customHeight="1">
      <c r="A883" s="90"/>
      <c r="B883" s="83"/>
      <c r="C883" s="83"/>
      <c r="D883" s="83"/>
      <c r="E883" s="83"/>
      <c r="F883" s="83"/>
      <c r="G883" s="83"/>
      <c r="H883" s="84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14.25" customHeight="1">
      <c r="A884" s="90"/>
      <c r="B884" s="83"/>
      <c r="C884" s="83"/>
      <c r="D884" s="83"/>
      <c r="E884" s="83"/>
      <c r="F884" s="83"/>
      <c r="G884" s="83"/>
      <c r="H884" s="84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14.25" customHeight="1">
      <c r="A885" s="90"/>
      <c r="B885" s="83"/>
      <c r="C885" s="83"/>
      <c r="D885" s="83"/>
      <c r="E885" s="83"/>
      <c r="F885" s="83"/>
      <c r="G885" s="83"/>
      <c r="H885" s="84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14.25" customHeight="1">
      <c r="A886" s="90"/>
      <c r="B886" s="83"/>
      <c r="C886" s="83"/>
      <c r="D886" s="83"/>
      <c r="E886" s="83"/>
      <c r="F886" s="83"/>
      <c r="G886" s="83"/>
      <c r="H886" s="84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14.25" customHeight="1">
      <c r="A887" s="90"/>
      <c r="B887" s="83"/>
      <c r="C887" s="83"/>
      <c r="D887" s="83"/>
      <c r="E887" s="83"/>
      <c r="F887" s="83"/>
      <c r="G887" s="83"/>
      <c r="H887" s="84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14.25" customHeight="1">
      <c r="A888" s="90"/>
      <c r="B888" s="83"/>
      <c r="C888" s="83"/>
      <c r="D888" s="83"/>
      <c r="E888" s="83"/>
      <c r="F888" s="83"/>
      <c r="G888" s="83"/>
      <c r="H888" s="84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14.25" customHeight="1">
      <c r="A889" s="90"/>
      <c r="B889" s="83"/>
      <c r="C889" s="83"/>
      <c r="D889" s="83"/>
      <c r="E889" s="83"/>
      <c r="F889" s="83"/>
      <c r="G889" s="83"/>
      <c r="H889" s="84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14.25" customHeight="1">
      <c r="A890" s="90"/>
      <c r="B890" s="83"/>
      <c r="C890" s="83"/>
      <c r="D890" s="83"/>
      <c r="E890" s="83"/>
      <c r="F890" s="83"/>
      <c r="G890" s="83"/>
      <c r="H890" s="84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14.25" customHeight="1">
      <c r="A891" s="90"/>
      <c r="B891" s="83"/>
      <c r="C891" s="83"/>
      <c r="D891" s="83"/>
      <c r="E891" s="83"/>
      <c r="F891" s="83"/>
      <c r="G891" s="83"/>
      <c r="H891" s="84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14.25" customHeight="1">
      <c r="A892" s="90"/>
      <c r="B892" s="83"/>
      <c r="C892" s="83"/>
      <c r="D892" s="83"/>
      <c r="E892" s="83"/>
      <c r="F892" s="83"/>
      <c r="G892" s="83"/>
      <c r="H892" s="84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14.25" customHeight="1">
      <c r="A893" s="90"/>
      <c r="B893" s="83"/>
      <c r="C893" s="83"/>
      <c r="D893" s="83"/>
      <c r="E893" s="83"/>
      <c r="F893" s="83"/>
      <c r="G893" s="83"/>
      <c r="H893" s="84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14.25" customHeight="1">
      <c r="A894" s="90"/>
      <c r="B894" s="83"/>
      <c r="C894" s="83"/>
      <c r="D894" s="83"/>
      <c r="E894" s="83"/>
      <c r="F894" s="83"/>
      <c r="G894" s="83"/>
      <c r="H894" s="84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14.25" customHeight="1">
      <c r="A895" s="90"/>
      <c r="B895" s="83"/>
      <c r="C895" s="83"/>
      <c r="D895" s="83"/>
      <c r="E895" s="83"/>
      <c r="F895" s="83"/>
      <c r="G895" s="83"/>
      <c r="H895" s="84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14.25" customHeight="1">
      <c r="A896" s="90"/>
      <c r="B896" s="83"/>
      <c r="C896" s="83"/>
      <c r="D896" s="83"/>
      <c r="E896" s="83"/>
      <c r="F896" s="83"/>
      <c r="G896" s="83"/>
      <c r="H896" s="84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14.25" customHeight="1">
      <c r="A897" s="90"/>
      <c r="B897" s="83"/>
      <c r="C897" s="83"/>
      <c r="D897" s="83"/>
      <c r="E897" s="83"/>
      <c r="F897" s="83"/>
      <c r="G897" s="83"/>
      <c r="H897" s="84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14.25" customHeight="1">
      <c r="A898" s="90"/>
      <c r="B898" s="83"/>
      <c r="C898" s="83"/>
      <c r="D898" s="83"/>
      <c r="E898" s="83"/>
      <c r="F898" s="83"/>
      <c r="G898" s="83"/>
      <c r="H898" s="84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14.25" customHeight="1">
      <c r="A899" s="90"/>
      <c r="B899" s="83"/>
      <c r="C899" s="83"/>
      <c r="D899" s="83"/>
      <c r="E899" s="83"/>
      <c r="F899" s="83"/>
      <c r="G899" s="83"/>
      <c r="H899" s="84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14.25" customHeight="1">
      <c r="A900" s="90"/>
      <c r="B900" s="83"/>
      <c r="C900" s="83"/>
      <c r="D900" s="83"/>
      <c r="E900" s="83"/>
      <c r="F900" s="83"/>
      <c r="G900" s="83"/>
      <c r="H900" s="84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14.25" customHeight="1">
      <c r="A901" s="90"/>
      <c r="B901" s="83"/>
      <c r="C901" s="83"/>
      <c r="D901" s="83"/>
      <c r="E901" s="83"/>
      <c r="F901" s="83"/>
      <c r="G901" s="83"/>
      <c r="H901" s="84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14.25" customHeight="1">
      <c r="A902" s="90"/>
      <c r="B902" s="83"/>
      <c r="C902" s="83"/>
      <c r="D902" s="83"/>
      <c r="E902" s="83"/>
      <c r="F902" s="83"/>
      <c r="G902" s="83"/>
      <c r="H902" s="84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14.25" customHeight="1">
      <c r="A903" s="90"/>
      <c r="B903" s="83"/>
      <c r="C903" s="83"/>
      <c r="D903" s="83"/>
      <c r="E903" s="83"/>
      <c r="F903" s="83"/>
      <c r="G903" s="83"/>
      <c r="H903" s="84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14.25" customHeight="1">
      <c r="A904" s="90"/>
      <c r="B904" s="83"/>
      <c r="C904" s="83"/>
      <c r="D904" s="83"/>
      <c r="E904" s="83"/>
      <c r="F904" s="83"/>
      <c r="G904" s="83"/>
      <c r="H904" s="84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14.25" customHeight="1">
      <c r="A905" s="90"/>
      <c r="B905" s="83"/>
      <c r="C905" s="83"/>
      <c r="D905" s="83"/>
      <c r="E905" s="83"/>
      <c r="F905" s="83"/>
      <c r="G905" s="83"/>
      <c r="H905" s="84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14.25" customHeight="1">
      <c r="A906" s="90"/>
      <c r="B906" s="83"/>
      <c r="C906" s="83"/>
      <c r="D906" s="83"/>
      <c r="E906" s="83"/>
      <c r="F906" s="83"/>
      <c r="G906" s="83"/>
      <c r="H906" s="84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14.25" customHeight="1">
      <c r="A907" s="90"/>
      <c r="B907" s="83"/>
      <c r="C907" s="83"/>
      <c r="D907" s="83"/>
      <c r="E907" s="83"/>
      <c r="F907" s="83"/>
      <c r="G907" s="83"/>
      <c r="H907" s="84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14.25" customHeight="1">
      <c r="A908" s="90"/>
      <c r="B908" s="83"/>
      <c r="C908" s="83"/>
      <c r="D908" s="83"/>
      <c r="E908" s="83"/>
      <c r="F908" s="83"/>
      <c r="G908" s="83"/>
      <c r="H908" s="84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14.25" customHeight="1">
      <c r="A909" s="90"/>
      <c r="B909" s="83"/>
      <c r="C909" s="83"/>
      <c r="D909" s="83"/>
      <c r="E909" s="83"/>
      <c r="F909" s="83"/>
      <c r="G909" s="83"/>
      <c r="H909" s="84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14.25" customHeight="1">
      <c r="A910" s="90"/>
      <c r="B910" s="83"/>
      <c r="C910" s="83"/>
      <c r="D910" s="83"/>
      <c r="E910" s="83"/>
      <c r="F910" s="83"/>
      <c r="G910" s="83"/>
      <c r="H910" s="84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14.25" customHeight="1">
      <c r="A911" s="90"/>
      <c r="B911" s="83"/>
      <c r="C911" s="83"/>
      <c r="D911" s="83"/>
      <c r="E911" s="83"/>
      <c r="F911" s="83"/>
      <c r="G911" s="83"/>
      <c r="H911" s="84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14.25" customHeight="1">
      <c r="A912" s="90"/>
      <c r="B912" s="83"/>
      <c r="C912" s="83"/>
      <c r="D912" s="83"/>
      <c r="E912" s="83"/>
      <c r="F912" s="83"/>
      <c r="G912" s="83"/>
      <c r="H912" s="84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14.25" customHeight="1">
      <c r="A913" s="90"/>
      <c r="B913" s="83"/>
      <c r="C913" s="83"/>
      <c r="D913" s="83"/>
      <c r="E913" s="83"/>
      <c r="F913" s="83"/>
      <c r="G913" s="83"/>
      <c r="H913" s="84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14.25" customHeight="1">
      <c r="A914" s="90"/>
      <c r="B914" s="83"/>
      <c r="C914" s="83"/>
      <c r="D914" s="83"/>
      <c r="E914" s="83"/>
      <c r="F914" s="83"/>
      <c r="G914" s="83"/>
      <c r="H914" s="84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14.25" customHeight="1">
      <c r="A915" s="90"/>
      <c r="B915" s="83"/>
      <c r="C915" s="83"/>
      <c r="D915" s="83"/>
      <c r="E915" s="83"/>
      <c r="F915" s="83"/>
      <c r="G915" s="83"/>
      <c r="H915" s="84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14.25" customHeight="1">
      <c r="A916" s="90"/>
      <c r="B916" s="83"/>
      <c r="C916" s="83"/>
      <c r="D916" s="83"/>
      <c r="E916" s="83"/>
      <c r="F916" s="83"/>
      <c r="G916" s="83"/>
      <c r="H916" s="84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14.25" customHeight="1">
      <c r="A917" s="90"/>
      <c r="B917" s="83"/>
      <c r="C917" s="83"/>
      <c r="D917" s="83"/>
      <c r="E917" s="83"/>
      <c r="F917" s="83"/>
      <c r="G917" s="83"/>
      <c r="H917" s="84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14.25" customHeight="1">
      <c r="A918" s="90"/>
      <c r="B918" s="83"/>
      <c r="C918" s="83"/>
      <c r="D918" s="83"/>
      <c r="E918" s="83"/>
      <c r="F918" s="83"/>
      <c r="G918" s="83"/>
      <c r="H918" s="84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14.25" customHeight="1">
      <c r="A919" s="90"/>
      <c r="B919" s="83"/>
      <c r="C919" s="83"/>
      <c r="D919" s="83"/>
      <c r="E919" s="83"/>
      <c r="F919" s="83"/>
      <c r="G919" s="83"/>
      <c r="H919" s="84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14.25" customHeight="1">
      <c r="A920" s="90"/>
      <c r="B920" s="83"/>
      <c r="C920" s="83"/>
      <c r="D920" s="83"/>
      <c r="E920" s="83"/>
      <c r="F920" s="83"/>
      <c r="G920" s="83"/>
      <c r="H920" s="84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14.25" customHeight="1">
      <c r="A921" s="90"/>
      <c r="B921" s="83"/>
      <c r="C921" s="83"/>
      <c r="D921" s="83"/>
      <c r="E921" s="83"/>
      <c r="F921" s="83"/>
      <c r="G921" s="83"/>
      <c r="H921" s="84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14.25" customHeight="1">
      <c r="A922" s="90"/>
      <c r="B922" s="83"/>
      <c r="C922" s="83"/>
      <c r="D922" s="83"/>
      <c r="E922" s="83"/>
      <c r="F922" s="83"/>
      <c r="G922" s="83"/>
      <c r="H922" s="84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14.25" customHeight="1">
      <c r="A923" s="90"/>
      <c r="B923" s="83"/>
      <c r="C923" s="83"/>
      <c r="D923" s="83"/>
      <c r="E923" s="83"/>
      <c r="F923" s="83"/>
      <c r="G923" s="83"/>
      <c r="H923" s="84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14.25" customHeight="1">
      <c r="A924" s="90"/>
      <c r="B924" s="83"/>
      <c r="C924" s="83"/>
      <c r="D924" s="83"/>
      <c r="E924" s="83"/>
      <c r="F924" s="83"/>
      <c r="G924" s="83"/>
      <c r="H924" s="84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14.25" customHeight="1">
      <c r="A925" s="90"/>
      <c r="B925" s="83"/>
      <c r="C925" s="83"/>
      <c r="D925" s="83"/>
      <c r="E925" s="83"/>
      <c r="F925" s="83"/>
      <c r="G925" s="83"/>
      <c r="H925" s="84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14.25" customHeight="1">
      <c r="A926" s="90"/>
      <c r="B926" s="83"/>
      <c r="C926" s="83"/>
      <c r="D926" s="83"/>
      <c r="E926" s="83"/>
      <c r="F926" s="83"/>
      <c r="G926" s="83"/>
      <c r="H926" s="84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14.25" customHeight="1">
      <c r="A927" s="90"/>
      <c r="B927" s="83"/>
      <c r="C927" s="83"/>
      <c r="D927" s="83"/>
      <c r="E927" s="83"/>
      <c r="F927" s="83"/>
      <c r="G927" s="83"/>
      <c r="H927" s="84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14.25" customHeight="1">
      <c r="A928" s="90"/>
      <c r="B928" s="83"/>
      <c r="C928" s="83"/>
      <c r="D928" s="83"/>
      <c r="E928" s="83"/>
      <c r="F928" s="83"/>
      <c r="G928" s="83"/>
      <c r="H928" s="84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14.25" customHeight="1">
      <c r="A929" s="90"/>
      <c r="B929" s="83"/>
      <c r="C929" s="83"/>
      <c r="D929" s="83"/>
      <c r="E929" s="83"/>
      <c r="F929" s="83"/>
      <c r="G929" s="83"/>
      <c r="H929" s="84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14.25" customHeight="1">
      <c r="A930" s="90"/>
      <c r="B930" s="83"/>
      <c r="C930" s="83"/>
      <c r="D930" s="83"/>
      <c r="E930" s="83"/>
      <c r="F930" s="83"/>
      <c r="G930" s="83"/>
      <c r="H930" s="84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14.25" customHeight="1">
      <c r="A931" s="90"/>
      <c r="B931" s="83"/>
      <c r="C931" s="83"/>
      <c r="D931" s="83"/>
      <c r="E931" s="83"/>
      <c r="F931" s="83"/>
      <c r="G931" s="83"/>
      <c r="H931" s="84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14.25" customHeight="1">
      <c r="A932" s="90"/>
      <c r="B932" s="83"/>
      <c r="C932" s="83"/>
      <c r="D932" s="83"/>
      <c r="E932" s="83"/>
      <c r="F932" s="83"/>
      <c r="G932" s="83"/>
      <c r="H932" s="84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14.25" customHeight="1">
      <c r="A933" s="90"/>
      <c r="B933" s="83"/>
      <c r="C933" s="83"/>
      <c r="D933" s="83"/>
      <c r="E933" s="83"/>
      <c r="F933" s="83"/>
      <c r="G933" s="83"/>
      <c r="H933" s="84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14.25" customHeight="1">
      <c r="A934" s="90"/>
      <c r="B934" s="83"/>
      <c r="C934" s="83"/>
      <c r="D934" s="83"/>
      <c r="E934" s="83"/>
      <c r="F934" s="83"/>
      <c r="G934" s="83"/>
      <c r="H934" s="84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14.25" customHeight="1">
      <c r="A935" s="90"/>
      <c r="B935" s="83"/>
      <c r="C935" s="83"/>
      <c r="D935" s="83"/>
      <c r="E935" s="83"/>
      <c r="F935" s="83"/>
      <c r="G935" s="83"/>
      <c r="H935" s="84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14.25" customHeight="1">
      <c r="A936" s="90"/>
      <c r="B936" s="83"/>
      <c r="C936" s="83"/>
      <c r="D936" s="83"/>
      <c r="E936" s="83"/>
      <c r="F936" s="83"/>
      <c r="G936" s="83"/>
      <c r="H936" s="84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14.25" customHeight="1">
      <c r="A937" s="90"/>
      <c r="B937" s="83"/>
      <c r="C937" s="83"/>
      <c r="D937" s="83"/>
      <c r="E937" s="83"/>
      <c r="F937" s="83"/>
      <c r="G937" s="83"/>
      <c r="H937" s="84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14.25" customHeight="1">
      <c r="A938" s="90"/>
      <c r="B938" s="83"/>
      <c r="C938" s="83"/>
      <c r="D938" s="83"/>
      <c r="E938" s="83"/>
      <c r="F938" s="83"/>
      <c r="G938" s="83"/>
      <c r="H938" s="84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14.25" customHeight="1">
      <c r="A939" s="90"/>
      <c r="B939" s="83"/>
      <c r="C939" s="83"/>
      <c r="D939" s="83"/>
      <c r="E939" s="83"/>
      <c r="F939" s="83"/>
      <c r="G939" s="83"/>
      <c r="H939" s="84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14.25" customHeight="1">
      <c r="A940" s="90"/>
      <c r="B940" s="83"/>
      <c r="C940" s="83"/>
      <c r="D940" s="83"/>
      <c r="E940" s="83"/>
      <c r="F940" s="83"/>
      <c r="G940" s="83"/>
      <c r="H940" s="84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14.25" customHeight="1">
      <c r="A941" s="90"/>
      <c r="B941" s="83"/>
      <c r="C941" s="83"/>
      <c r="D941" s="83"/>
      <c r="E941" s="83"/>
      <c r="F941" s="83"/>
      <c r="G941" s="83"/>
      <c r="H941" s="84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14.25" customHeight="1">
      <c r="A942" s="90"/>
      <c r="B942" s="83"/>
      <c r="C942" s="83"/>
      <c r="D942" s="83"/>
      <c r="E942" s="83"/>
      <c r="F942" s="83"/>
      <c r="G942" s="83"/>
      <c r="H942" s="84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14.25" customHeight="1">
      <c r="A943" s="90"/>
      <c r="B943" s="83"/>
      <c r="C943" s="83"/>
      <c r="D943" s="83"/>
      <c r="E943" s="83"/>
      <c r="F943" s="83"/>
      <c r="G943" s="83"/>
      <c r="H943" s="84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14.25" customHeight="1">
      <c r="A944" s="90"/>
      <c r="B944" s="83"/>
      <c r="C944" s="83"/>
      <c r="D944" s="83"/>
      <c r="E944" s="83"/>
      <c r="F944" s="83"/>
      <c r="G944" s="83"/>
      <c r="H944" s="84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14.25" customHeight="1">
      <c r="A945" s="90"/>
      <c r="B945" s="83"/>
      <c r="C945" s="83"/>
      <c r="D945" s="83"/>
      <c r="E945" s="83"/>
      <c r="F945" s="83"/>
      <c r="G945" s="83"/>
      <c r="H945" s="84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14.25" customHeight="1">
      <c r="A946" s="90"/>
      <c r="B946" s="83"/>
      <c r="C946" s="83"/>
      <c r="D946" s="83"/>
      <c r="E946" s="83"/>
      <c r="F946" s="83"/>
      <c r="G946" s="83"/>
      <c r="H946" s="84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14.25" customHeight="1">
      <c r="A947" s="90"/>
      <c r="B947" s="83"/>
      <c r="C947" s="83"/>
      <c r="D947" s="83"/>
      <c r="E947" s="83"/>
      <c r="F947" s="83"/>
      <c r="G947" s="83"/>
      <c r="H947" s="84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14.25" customHeight="1">
      <c r="A948" s="90"/>
      <c r="B948" s="83"/>
      <c r="C948" s="83"/>
      <c r="D948" s="83"/>
      <c r="E948" s="83"/>
      <c r="F948" s="83"/>
      <c r="G948" s="83"/>
      <c r="H948" s="84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14.25" customHeight="1">
      <c r="A949" s="90"/>
      <c r="B949" s="83"/>
      <c r="C949" s="83"/>
      <c r="D949" s="83"/>
      <c r="E949" s="83"/>
      <c r="F949" s="83"/>
      <c r="G949" s="83"/>
      <c r="H949" s="84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14.25" customHeight="1">
      <c r="A950" s="90"/>
      <c r="B950" s="83"/>
      <c r="C950" s="83"/>
      <c r="D950" s="83"/>
      <c r="E950" s="83"/>
      <c r="F950" s="83"/>
      <c r="G950" s="83"/>
      <c r="H950" s="84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14.25" customHeight="1">
      <c r="A951" s="90"/>
      <c r="B951" s="83"/>
      <c r="C951" s="83"/>
      <c r="D951" s="83"/>
      <c r="E951" s="83"/>
      <c r="F951" s="83"/>
      <c r="G951" s="83"/>
      <c r="H951" s="84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14.25" customHeight="1">
      <c r="A952" s="90"/>
      <c r="B952" s="83"/>
      <c r="C952" s="83"/>
      <c r="D952" s="83"/>
      <c r="E952" s="83"/>
      <c r="F952" s="83"/>
      <c r="G952" s="83"/>
      <c r="H952" s="84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14.25" customHeight="1">
      <c r="A953" s="90"/>
      <c r="B953" s="83"/>
      <c r="C953" s="83"/>
      <c r="D953" s="83"/>
      <c r="E953" s="83"/>
      <c r="F953" s="83"/>
      <c r="G953" s="83"/>
      <c r="H953" s="84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14.25" customHeight="1">
      <c r="A954" s="90"/>
      <c r="B954" s="83"/>
      <c r="C954" s="83"/>
      <c r="D954" s="83"/>
      <c r="E954" s="83"/>
      <c r="F954" s="83"/>
      <c r="G954" s="83"/>
      <c r="H954" s="84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14.25" customHeight="1">
      <c r="A955" s="90"/>
      <c r="B955" s="83"/>
      <c r="C955" s="83"/>
      <c r="D955" s="83"/>
      <c r="E955" s="83"/>
      <c r="F955" s="83"/>
      <c r="G955" s="83"/>
      <c r="H955" s="84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14.25" customHeight="1">
      <c r="A956" s="90"/>
      <c r="B956" s="83"/>
      <c r="C956" s="83"/>
      <c r="D956" s="83"/>
      <c r="E956" s="83"/>
      <c r="F956" s="83"/>
      <c r="G956" s="83"/>
      <c r="H956" s="84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14.25" customHeight="1">
      <c r="A957" s="90"/>
      <c r="B957" s="83"/>
      <c r="C957" s="83"/>
      <c r="D957" s="83"/>
      <c r="E957" s="83"/>
      <c r="F957" s="83"/>
      <c r="G957" s="83"/>
      <c r="H957" s="84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14.25" customHeight="1">
      <c r="A958" s="90"/>
      <c r="B958" s="83"/>
      <c r="C958" s="83"/>
      <c r="D958" s="83"/>
      <c r="E958" s="83"/>
      <c r="F958" s="83"/>
      <c r="G958" s="83"/>
      <c r="H958" s="84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14.25" customHeight="1">
      <c r="A959" s="90"/>
      <c r="B959" s="83"/>
      <c r="C959" s="83"/>
      <c r="D959" s="83"/>
      <c r="E959" s="83"/>
      <c r="F959" s="83"/>
      <c r="G959" s="83"/>
      <c r="H959" s="84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14.25" customHeight="1">
      <c r="A960" s="90"/>
      <c r="B960" s="83"/>
      <c r="C960" s="83"/>
      <c r="D960" s="83"/>
      <c r="E960" s="83"/>
      <c r="F960" s="83"/>
      <c r="G960" s="83"/>
      <c r="H960" s="84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14.25" customHeight="1">
      <c r="A961" s="90"/>
      <c r="B961" s="83"/>
      <c r="C961" s="83"/>
      <c r="D961" s="83"/>
      <c r="E961" s="83"/>
      <c r="F961" s="83"/>
      <c r="G961" s="83"/>
      <c r="H961" s="84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14.25" customHeight="1">
      <c r="A962" s="90"/>
      <c r="B962" s="83"/>
      <c r="C962" s="83"/>
      <c r="D962" s="83"/>
      <c r="E962" s="83"/>
      <c r="F962" s="83"/>
      <c r="G962" s="83"/>
      <c r="H962" s="84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14.25" customHeight="1">
      <c r="A963" s="90"/>
      <c r="B963" s="83"/>
      <c r="C963" s="83"/>
      <c r="D963" s="83"/>
      <c r="E963" s="83"/>
      <c r="F963" s="83"/>
      <c r="G963" s="83"/>
      <c r="H963" s="84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14.25" customHeight="1">
      <c r="A964" s="90"/>
      <c r="B964" s="83"/>
      <c r="C964" s="83"/>
      <c r="D964" s="83"/>
      <c r="E964" s="83"/>
      <c r="F964" s="83"/>
      <c r="G964" s="83"/>
      <c r="H964" s="84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14.25" customHeight="1">
      <c r="A965" s="90"/>
      <c r="B965" s="83"/>
      <c r="C965" s="83"/>
      <c r="D965" s="83"/>
      <c r="E965" s="83"/>
      <c r="F965" s="83"/>
      <c r="G965" s="83"/>
      <c r="H965" s="84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14.25" customHeight="1">
      <c r="A966" s="90"/>
      <c r="B966" s="83"/>
      <c r="C966" s="83"/>
      <c r="D966" s="83"/>
      <c r="E966" s="83"/>
      <c r="F966" s="83"/>
      <c r="G966" s="83"/>
      <c r="H966" s="84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14.25" customHeight="1">
      <c r="A967" s="90"/>
      <c r="B967" s="83"/>
      <c r="C967" s="83"/>
      <c r="D967" s="83"/>
      <c r="E967" s="83"/>
      <c r="F967" s="83"/>
      <c r="G967" s="83"/>
      <c r="H967" s="84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14.25" customHeight="1">
      <c r="A968" s="90"/>
      <c r="B968" s="83"/>
      <c r="C968" s="83"/>
      <c r="D968" s="83"/>
      <c r="E968" s="83"/>
      <c r="F968" s="83"/>
      <c r="G968" s="83"/>
      <c r="H968" s="84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14.25" customHeight="1">
      <c r="A969" s="90"/>
      <c r="B969" s="83"/>
      <c r="C969" s="83"/>
      <c r="D969" s="83"/>
      <c r="E969" s="83"/>
      <c r="F969" s="83"/>
      <c r="G969" s="83"/>
      <c r="H969" s="84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14.25" customHeight="1">
      <c r="A970" s="90"/>
      <c r="B970" s="83"/>
      <c r="C970" s="83"/>
      <c r="D970" s="83"/>
      <c r="E970" s="83"/>
      <c r="F970" s="83"/>
      <c r="G970" s="83"/>
      <c r="H970" s="84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spans="1:26" ht="14.25" customHeight="1">
      <c r="A971" s="90"/>
      <c r="B971" s="83"/>
      <c r="C971" s="83"/>
      <c r="D971" s="83"/>
      <c r="E971" s="83"/>
      <c r="F971" s="83"/>
      <c r="G971" s="83"/>
      <c r="H971" s="84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spans="1:26" ht="14.25" customHeight="1">
      <c r="A972" s="90"/>
      <c r="B972" s="83"/>
      <c r="C972" s="83"/>
      <c r="D972" s="83"/>
      <c r="E972" s="83"/>
      <c r="F972" s="83"/>
      <c r="G972" s="83"/>
      <c r="H972" s="84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spans="1:26" ht="14.25" customHeight="1">
      <c r="A973" s="90"/>
      <c r="B973" s="83"/>
      <c r="C973" s="83"/>
      <c r="D973" s="83"/>
      <c r="E973" s="83"/>
      <c r="F973" s="83"/>
      <c r="G973" s="83"/>
      <c r="H973" s="84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spans="1:26" ht="14.25" customHeight="1">
      <c r="A974" s="90"/>
      <c r="B974" s="83"/>
      <c r="C974" s="83"/>
      <c r="D974" s="83"/>
      <c r="E974" s="83"/>
      <c r="F974" s="83"/>
      <c r="G974" s="83"/>
      <c r="H974" s="84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spans="1:26" ht="14.25" customHeight="1">
      <c r="A975" s="90"/>
      <c r="B975" s="83"/>
      <c r="C975" s="83"/>
      <c r="D975" s="83"/>
      <c r="E975" s="83"/>
      <c r="F975" s="83"/>
      <c r="G975" s="83"/>
      <c r="H975" s="84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spans="1:26" ht="14.25" customHeight="1">
      <c r="A976" s="90"/>
      <c r="B976" s="83"/>
      <c r="C976" s="83"/>
      <c r="D976" s="83"/>
      <c r="E976" s="83"/>
      <c r="F976" s="83"/>
      <c r="G976" s="83"/>
      <c r="H976" s="84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spans="1:26" ht="14.25" customHeight="1">
      <c r="A977" s="90"/>
      <c r="B977" s="83"/>
      <c r="C977" s="83"/>
      <c r="D977" s="83"/>
      <c r="E977" s="83"/>
      <c r="F977" s="83"/>
      <c r="G977" s="83"/>
      <c r="H977" s="84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spans="1:26" ht="14.25" customHeight="1">
      <c r="A978" s="90"/>
      <c r="B978" s="83"/>
      <c r="C978" s="83"/>
      <c r="D978" s="83"/>
      <c r="E978" s="83"/>
      <c r="F978" s="83"/>
      <c r="G978" s="83"/>
      <c r="H978" s="84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spans="1:26" ht="14.25" customHeight="1">
      <c r="A979" s="90"/>
      <c r="B979" s="83"/>
      <c r="C979" s="83"/>
      <c r="D979" s="83"/>
      <c r="E979" s="83"/>
      <c r="F979" s="83"/>
      <c r="G979" s="83"/>
      <c r="H979" s="84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spans="1:26" ht="14.25" customHeight="1">
      <c r="A980" s="90"/>
      <c r="B980" s="83"/>
      <c r="C980" s="83"/>
      <c r="D980" s="83"/>
      <c r="E980" s="83"/>
      <c r="F980" s="83"/>
      <c r="G980" s="83"/>
      <c r="H980" s="84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spans="1:26" ht="14.25" customHeight="1">
      <c r="A981" s="90"/>
      <c r="B981" s="83"/>
      <c r="C981" s="83"/>
      <c r="D981" s="83"/>
      <c r="E981" s="83"/>
      <c r="F981" s="83"/>
      <c r="G981" s="83"/>
      <c r="H981" s="84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spans="1:26" ht="14.25" customHeight="1">
      <c r="A982" s="90"/>
      <c r="B982" s="83"/>
      <c r="C982" s="83"/>
      <c r="D982" s="83"/>
      <c r="E982" s="83"/>
      <c r="F982" s="83"/>
      <c r="G982" s="83"/>
      <c r="H982" s="84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spans="1:26" ht="14.25" customHeight="1">
      <c r="A983" s="90"/>
      <c r="B983" s="83"/>
      <c r="C983" s="83"/>
      <c r="D983" s="83"/>
      <c r="E983" s="83"/>
      <c r="F983" s="83"/>
      <c r="G983" s="83"/>
      <c r="H983" s="84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spans="1:26" ht="14.25" customHeight="1">
      <c r="A984" s="90"/>
      <c r="B984" s="83"/>
      <c r="C984" s="83"/>
      <c r="D984" s="83"/>
      <c r="E984" s="83"/>
      <c r="F984" s="83"/>
      <c r="G984" s="83"/>
      <c r="H984" s="84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spans="1:26" ht="14.25" customHeight="1">
      <c r="A985" s="90"/>
      <c r="B985" s="83"/>
      <c r="C985" s="83"/>
      <c r="D985" s="83"/>
      <c r="E985" s="83"/>
      <c r="F985" s="83"/>
      <c r="G985" s="83"/>
      <c r="H985" s="84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spans="1:26" ht="14.25" customHeight="1">
      <c r="A986" s="90"/>
      <c r="B986" s="83"/>
      <c r="C986" s="83"/>
      <c r="D986" s="83"/>
      <c r="E986" s="83"/>
      <c r="F986" s="83"/>
      <c r="G986" s="83"/>
      <c r="H986" s="84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spans="1:26" ht="14.25" customHeight="1">
      <c r="A987" s="90"/>
      <c r="B987" s="83"/>
      <c r="C987" s="83"/>
      <c r="D987" s="83"/>
      <c r="E987" s="83"/>
      <c r="F987" s="83"/>
      <c r="G987" s="83"/>
      <c r="H987" s="84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spans="1:26" ht="14.25" customHeight="1">
      <c r="A988" s="90"/>
      <c r="B988" s="83"/>
      <c r="C988" s="83"/>
      <c r="D988" s="83"/>
      <c r="E988" s="83"/>
      <c r="F988" s="83"/>
      <c r="G988" s="83"/>
      <c r="H988" s="84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spans="1:26" ht="14.25" customHeight="1">
      <c r="A989" s="90"/>
      <c r="B989" s="83"/>
      <c r="C989" s="83"/>
      <c r="D989" s="83"/>
      <c r="E989" s="83"/>
      <c r="F989" s="83"/>
      <c r="G989" s="83"/>
      <c r="H989" s="84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spans="1:26" ht="14.25" customHeight="1">
      <c r="A990" s="90"/>
      <c r="B990" s="83"/>
      <c r="C990" s="83"/>
      <c r="D990" s="83"/>
      <c r="E990" s="83"/>
      <c r="F990" s="83"/>
      <c r="G990" s="83"/>
      <c r="H990" s="84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spans="1:26" ht="14.25" customHeight="1">
      <c r="A991" s="90"/>
      <c r="B991" s="83"/>
      <c r="C991" s="83"/>
      <c r="D991" s="83"/>
      <c r="E991" s="83"/>
      <c r="F991" s="83"/>
      <c r="G991" s="83"/>
      <c r="H991" s="84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spans="1:26" ht="14.25" customHeight="1">
      <c r="A992" s="90"/>
      <c r="B992" s="83"/>
      <c r="C992" s="83"/>
      <c r="D992" s="83"/>
      <c r="E992" s="83"/>
      <c r="F992" s="83"/>
      <c r="G992" s="83"/>
      <c r="H992" s="84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spans="1:26" ht="14.25" customHeight="1">
      <c r="A993" s="90"/>
      <c r="B993" s="83"/>
      <c r="C993" s="83"/>
      <c r="D993" s="83"/>
      <c r="E993" s="83"/>
      <c r="F993" s="83"/>
      <c r="G993" s="83"/>
      <c r="H993" s="84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spans="1:26" ht="14.25" customHeight="1">
      <c r="A994" s="90"/>
      <c r="B994" s="83"/>
      <c r="C994" s="83"/>
      <c r="D994" s="83"/>
      <c r="E994" s="83"/>
      <c r="F994" s="83"/>
      <c r="G994" s="83"/>
      <c r="H994" s="84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spans="1:26" ht="14.25" customHeight="1">
      <c r="A995" s="90"/>
      <c r="B995" s="83"/>
      <c r="C995" s="83"/>
      <c r="D995" s="83"/>
      <c r="E995" s="83"/>
      <c r="F995" s="83"/>
      <c r="G995" s="83"/>
      <c r="H995" s="84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spans="1:26" ht="14.25" customHeight="1">
      <c r="A996" s="90"/>
      <c r="B996" s="83"/>
      <c r="C996" s="83"/>
      <c r="D996" s="83"/>
      <c r="E996" s="83"/>
      <c r="F996" s="83"/>
      <c r="G996" s="83"/>
      <c r="H996" s="84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spans="1:26" ht="14.25" customHeight="1">
      <c r="A997" s="90"/>
      <c r="B997" s="83"/>
      <c r="C997" s="83"/>
      <c r="D997" s="83"/>
      <c r="E997" s="83"/>
      <c r="F997" s="83"/>
      <c r="G997" s="83"/>
      <c r="H997" s="84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  <row r="998" spans="1:26" ht="14.25" customHeight="1">
      <c r="A998" s="90"/>
      <c r="B998" s="83"/>
      <c r="C998" s="83"/>
      <c r="D998" s="83"/>
      <c r="E998" s="83"/>
      <c r="F998" s="83"/>
      <c r="G998" s="83"/>
      <c r="H998" s="84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</row>
    <row r="999" spans="1:26" ht="14.25" customHeight="1">
      <c r="A999" s="90"/>
      <c r="B999" s="83"/>
      <c r="C999" s="83"/>
      <c r="D999" s="83"/>
      <c r="E999" s="83"/>
      <c r="F999" s="83"/>
      <c r="G999" s="83"/>
      <c r="H999" s="84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</row>
    <row r="1000" spans="1:26" ht="14.25" customHeight="1">
      <c r="A1000" s="90"/>
      <c r="B1000" s="83"/>
      <c r="C1000" s="83"/>
      <c r="D1000" s="83"/>
      <c r="E1000" s="83"/>
      <c r="F1000" s="83"/>
      <c r="G1000" s="83"/>
      <c r="H1000" s="84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</row>
  </sheetData>
  <mergeCells count="2">
    <mergeCell ref="G1:H1"/>
    <mergeCell ref="I1:J1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00"/>
  <sheetViews>
    <sheetView workbookViewId="0"/>
  </sheetViews>
  <sheetFormatPr defaultColWidth="14.42578125" defaultRowHeight="15" customHeight="1"/>
  <cols>
    <col min="1" max="1" width="8.7109375" customWidth="1"/>
    <col min="2" max="2" width="21.85546875" customWidth="1"/>
    <col min="3" max="3" width="28.5703125" customWidth="1"/>
    <col min="4" max="5" width="8.7109375" customWidth="1"/>
    <col min="6" max="6" width="15.7109375" customWidth="1"/>
    <col min="7" max="7" width="16.42578125" customWidth="1"/>
    <col min="8" max="8" width="18" customWidth="1"/>
    <col min="9" max="26" width="8.7109375" customWidth="1"/>
  </cols>
  <sheetData>
    <row r="1" spans="1:8" ht="14.25" customHeight="1">
      <c r="A1" s="91" t="s">
        <v>0</v>
      </c>
      <c r="B1" s="91" t="s">
        <v>1</v>
      </c>
      <c r="C1" s="91" t="s">
        <v>2</v>
      </c>
      <c r="D1" s="91" t="s">
        <v>3</v>
      </c>
      <c r="E1" s="91" t="s">
        <v>4</v>
      </c>
      <c r="F1" s="91" t="s">
        <v>234</v>
      </c>
      <c r="G1" s="91" t="s">
        <v>5</v>
      </c>
      <c r="H1" s="91" t="s">
        <v>51</v>
      </c>
    </row>
    <row r="2" spans="1:8" ht="14.25" customHeight="1">
      <c r="A2" s="92">
        <v>100</v>
      </c>
      <c r="B2" s="92" t="s">
        <v>60</v>
      </c>
      <c r="C2" s="92" t="s">
        <v>61</v>
      </c>
      <c r="D2" s="92" t="s">
        <v>62</v>
      </c>
      <c r="E2" s="93">
        <v>2.81E-2</v>
      </c>
      <c r="F2" s="94">
        <v>18</v>
      </c>
      <c r="G2" s="94">
        <v>21</v>
      </c>
      <c r="H2" s="95">
        <v>39312</v>
      </c>
    </row>
    <row r="3" spans="1:8" ht="14.25" customHeight="1">
      <c r="A3" s="92">
        <v>101</v>
      </c>
      <c r="B3" s="92" t="s">
        <v>65</v>
      </c>
      <c r="C3" s="92" t="s">
        <v>76</v>
      </c>
      <c r="D3" s="92" t="s">
        <v>67</v>
      </c>
      <c r="E3" s="93">
        <v>1.0999999999999999E-2</v>
      </c>
      <c r="F3" s="94">
        <v>19.95</v>
      </c>
      <c r="G3" s="94">
        <v>22.95</v>
      </c>
      <c r="H3" s="95">
        <v>16800</v>
      </c>
    </row>
    <row r="4" spans="1:8" ht="14.25" customHeight="1">
      <c r="A4" s="92" t="s">
        <v>40</v>
      </c>
      <c r="B4" s="96" t="s">
        <v>41</v>
      </c>
      <c r="C4" s="92" t="s">
        <v>69</v>
      </c>
      <c r="D4" s="92" t="s">
        <v>70</v>
      </c>
      <c r="E4" s="93">
        <v>3.9899999999999998E-2</v>
      </c>
      <c r="F4" s="22" t="s">
        <v>63</v>
      </c>
      <c r="G4" s="22" t="s">
        <v>63</v>
      </c>
      <c r="H4" s="97">
        <f>16*2663</f>
        <v>42608</v>
      </c>
    </row>
    <row r="5" spans="1:8" ht="14.25" customHeight="1">
      <c r="A5" s="92">
        <v>105</v>
      </c>
      <c r="B5" s="92" t="s">
        <v>72</v>
      </c>
      <c r="C5" s="22"/>
      <c r="D5" s="92" t="s">
        <v>74</v>
      </c>
      <c r="E5" s="93">
        <v>1.95E-2</v>
      </c>
      <c r="F5" s="94">
        <v>13</v>
      </c>
      <c r="G5" s="94">
        <v>16</v>
      </c>
      <c r="H5" s="95">
        <v>20800</v>
      </c>
    </row>
    <row r="6" spans="1:8" ht="14.25" customHeight="1">
      <c r="A6" s="92">
        <v>106</v>
      </c>
      <c r="B6" s="92" t="s">
        <v>75</v>
      </c>
      <c r="C6" s="92" t="s">
        <v>76</v>
      </c>
      <c r="D6" s="92" t="s">
        <v>77</v>
      </c>
      <c r="E6" s="93">
        <v>1.8599999999999998E-2</v>
      </c>
      <c r="F6" s="94">
        <v>9</v>
      </c>
      <c r="G6" s="94">
        <v>12</v>
      </c>
      <c r="H6" s="95">
        <v>14880</v>
      </c>
    </row>
    <row r="7" spans="1:8" ht="14.25" customHeight="1">
      <c r="A7" s="92" t="s">
        <v>43</v>
      </c>
      <c r="B7" s="92" t="s">
        <v>41</v>
      </c>
      <c r="C7" s="92" t="s">
        <v>235</v>
      </c>
      <c r="D7" s="92" t="s">
        <v>236</v>
      </c>
      <c r="E7" s="93">
        <v>9.7699999999999995E-2</v>
      </c>
      <c r="F7" s="94">
        <v>13</v>
      </c>
      <c r="G7" s="94">
        <v>16</v>
      </c>
      <c r="H7" s="98">
        <f>16*6519</f>
        <v>104304</v>
      </c>
    </row>
    <row r="8" spans="1:8" ht="14.25" customHeight="1">
      <c r="A8" s="92">
        <v>112</v>
      </c>
      <c r="B8" s="96" t="s">
        <v>8</v>
      </c>
      <c r="C8" s="92" t="s">
        <v>69</v>
      </c>
      <c r="D8" s="92" t="s">
        <v>77</v>
      </c>
      <c r="E8" s="93">
        <v>1.8599999999999998E-2</v>
      </c>
      <c r="F8" s="94">
        <v>13</v>
      </c>
      <c r="G8" s="94">
        <v>16</v>
      </c>
      <c r="H8" s="99">
        <v>19836</v>
      </c>
    </row>
    <row r="9" spans="1:8" ht="14.25" customHeight="1">
      <c r="A9" s="92">
        <v>113</v>
      </c>
      <c r="B9" s="92" t="s">
        <v>41</v>
      </c>
      <c r="C9" s="92" t="s">
        <v>45</v>
      </c>
      <c r="D9" s="92" t="s">
        <v>79</v>
      </c>
      <c r="E9" s="93">
        <v>4.4999999999999998E-2</v>
      </c>
      <c r="F9" s="22" t="s">
        <v>63</v>
      </c>
      <c r="G9" s="22" t="s">
        <v>63</v>
      </c>
      <c r="H9" s="92" t="s">
        <v>63</v>
      </c>
    </row>
    <row r="10" spans="1:8" ht="14.25" customHeight="1">
      <c r="A10" s="92">
        <v>114</v>
      </c>
      <c r="B10" s="92" t="s">
        <v>80</v>
      </c>
      <c r="C10" s="92" t="s">
        <v>81</v>
      </c>
      <c r="D10" s="92" t="s">
        <v>82</v>
      </c>
      <c r="E10" s="93">
        <v>3.0200000000000001E-2</v>
      </c>
      <c r="F10" s="94">
        <v>7</v>
      </c>
      <c r="G10" s="94">
        <v>10</v>
      </c>
      <c r="H10" s="99">
        <v>20140</v>
      </c>
    </row>
    <row r="11" spans="1:8" ht="14.25" customHeight="1">
      <c r="A11" s="92">
        <v>115</v>
      </c>
      <c r="B11" s="100" t="s">
        <v>10</v>
      </c>
      <c r="C11" s="92" t="s">
        <v>11</v>
      </c>
      <c r="D11" s="92" t="s">
        <v>83</v>
      </c>
      <c r="E11" s="93">
        <v>1.9800000000000002E-2</v>
      </c>
      <c r="F11" s="94">
        <v>12.01</v>
      </c>
      <c r="G11" s="94">
        <v>15.01</v>
      </c>
      <c r="H11" s="101">
        <v>19800</v>
      </c>
    </row>
    <row r="12" spans="1:8" ht="14.25" customHeight="1">
      <c r="A12" s="92">
        <v>116</v>
      </c>
      <c r="B12" s="96" t="s">
        <v>41</v>
      </c>
      <c r="C12" s="92" t="s">
        <v>69</v>
      </c>
      <c r="D12" s="92" t="s">
        <v>84</v>
      </c>
      <c r="E12" s="93">
        <v>3.4299999999999997E-2</v>
      </c>
      <c r="F12" s="94">
        <v>13</v>
      </c>
      <c r="G12" s="94">
        <v>16</v>
      </c>
      <c r="H12" s="98">
        <f>14*2287</f>
        <v>32018</v>
      </c>
    </row>
    <row r="13" spans="1:8" ht="14.25" customHeight="1">
      <c r="A13" s="92">
        <v>117</v>
      </c>
      <c r="B13" s="92" t="s">
        <v>85</v>
      </c>
      <c r="C13" s="92" t="s">
        <v>86</v>
      </c>
      <c r="D13" s="92" t="s">
        <v>87</v>
      </c>
      <c r="E13" s="93">
        <v>4.7199999999999999E-2</v>
      </c>
      <c r="F13" s="94">
        <v>19.87</v>
      </c>
      <c r="G13" s="94">
        <v>22.87</v>
      </c>
      <c r="H13" s="95">
        <v>72000</v>
      </c>
    </row>
    <row r="14" spans="1:8" ht="14.25" customHeight="1">
      <c r="A14" s="92" t="s">
        <v>33</v>
      </c>
      <c r="B14" s="92" t="s">
        <v>89</v>
      </c>
      <c r="C14" s="92" t="s">
        <v>90</v>
      </c>
      <c r="D14" s="92" t="s">
        <v>91</v>
      </c>
      <c r="E14" s="93">
        <v>0.10639999999999999</v>
      </c>
      <c r="F14" s="94">
        <v>14.01</v>
      </c>
      <c r="G14" s="94">
        <v>17.010000000000002</v>
      </c>
      <c r="H14" s="98">
        <v>120800</v>
      </c>
    </row>
    <row r="15" spans="1:8" ht="14.25" customHeight="1">
      <c r="A15" s="92" t="s">
        <v>92</v>
      </c>
      <c r="B15" s="92" t="s">
        <v>93</v>
      </c>
      <c r="C15" s="92" t="s">
        <v>94</v>
      </c>
      <c r="D15" s="92" t="s">
        <v>95</v>
      </c>
      <c r="E15" s="93">
        <v>3.6700000000000003E-2</v>
      </c>
      <c r="F15" s="94">
        <v>3.24</v>
      </c>
      <c r="G15" s="94">
        <v>6.24</v>
      </c>
      <c r="H15" s="102">
        <f>12*2450</f>
        <v>29400</v>
      </c>
    </row>
    <row r="16" spans="1:8" ht="14.25" customHeight="1">
      <c r="A16" s="92">
        <v>210</v>
      </c>
      <c r="B16" s="92" t="s">
        <v>97</v>
      </c>
      <c r="C16" s="92" t="s">
        <v>98</v>
      </c>
      <c r="D16" s="92" t="s">
        <v>99</v>
      </c>
      <c r="E16" s="93">
        <v>1.8200000000000001E-2</v>
      </c>
      <c r="F16" s="94">
        <v>8.6</v>
      </c>
      <c r="G16" s="94">
        <v>11.6</v>
      </c>
      <c r="H16" s="102">
        <v>14100</v>
      </c>
    </row>
    <row r="17" spans="1:8" ht="14.25" customHeight="1">
      <c r="A17" s="92">
        <v>211</v>
      </c>
      <c r="B17" s="92" t="s">
        <v>41</v>
      </c>
      <c r="C17" s="92" t="s">
        <v>100</v>
      </c>
      <c r="D17" s="92" t="s">
        <v>237</v>
      </c>
      <c r="E17" s="93">
        <v>2.1000000000000001E-2</v>
      </c>
      <c r="F17" s="22" t="s">
        <v>63</v>
      </c>
      <c r="G17" s="22" t="s">
        <v>63</v>
      </c>
      <c r="H17" s="92">
        <f>12*1400</f>
        <v>16800</v>
      </c>
    </row>
    <row r="18" spans="1:8" ht="14.25" customHeight="1">
      <c r="A18" s="92">
        <v>212</v>
      </c>
      <c r="B18" s="96" t="s">
        <v>12</v>
      </c>
      <c r="C18" s="96" t="s">
        <v>13</v>
      </c>
      <c r="D18" s="96" t="s">
        <v>102</v>
      </c>
      <c r="E18" s="103">
        <v>1.8700000000000001E-2</v>
      </c>
      <c r="F18" s="104">
        <v>8.57</v>
      </c>
      <c r="G18" s="104">
        <v>11.57</v>
      </c>
      <c r="H18" s="99">
        <v>14400</v>
      </c>
    </row>
    <row r="19" spans="1:8" ht="14.25" customHeight="1">
      <c r="A19" s="92">
        <v>213</v>
      </c>
      <c r="B19" s="96" t="s">
        <v>14</v>
      </c>
      <c r="C19" s="96" t="s">
        <v>15</v>
      </c>
      <c r="D19" s="96" t="s">
        <v>77</v>
      </c>
      <c r="E19" s="103">
        <v>1.8599999999999998E-2</v>
      </c>
      <c r="F19" s="104">
        <v>7.65</v>
      </c>
      <c r="G19" s="104">
        <v>10.65</v>
      </c>
      <c r="H19" s="99">
        <v>13200</v>
      </c>
    </row>
    <row r="20" spans="1:8" ht="14.25" customHeight="1">
      <c r="A20" s="92">
        <v>214</v>
      </c>
      <c r="B20" s="96" t="s">
        <v>17</v>
      </c>
      <c r="C20" s="96" t="s">
        <v>18</v>
      </c>
      <c r="D20" s="96" t="s">
        <v>103</v>
      </c>
      <c r="E20" s="103">
        <v>2.7400000000000001E-2</v>
      </c>
      <c r="F20" s="104">
        <v>7.72</v>
      </c>
      <c r="G20" s="104">
        <v>10.72</v>
      </c>
      <c r="H20" s="99">
        <v>19596</v>
      </c>
    </row>
    <row r="21" spans="1:8" ht="14.25" customHeight="1">
      <c r="A21" s="92">
        <v>215</v>
      </c>
      <c r="B21" s="92" t="s">
        <v>225</v>
      </c>
      <c r="C21" s="92" t="s">
        <v>105</v>
      </c>
      <c r="D21" s="92" t="s">
        <v>106</v>
      </c>
      <c r="E21" s="93">
        <v>2.7199999999999998E-2</v>
      </c>
      <c r="F21" s="94">
        <v>5.19</v>
      </c>
      <c r="G21" s="94">
        <v>8.19</v>
      </c>
      <c r="H21" s="95">
        <v>14880</v>
      </c>
    </row>
    <row r="22" spans="1:8" ht="14.25" customHeight="1">
      <c r="A22" s="92">
        <v>218</v>
      </c>
      <c r="B22" s="96" t="s">
        <v>41</v>
      </c>
      <c r="C22" s="96" t="s">
        <v>238</v>
      </c>
      <c r="D22" s="96" t="s">
        <v>108</v>
      </c>
      <c r="E22" s="103">
        <v>2.7E-2</v>
      </c>
      <c r="F22" s="105"/>
      <c r="G22" s="105"/>
      <c r="H22" s="105"/>
    </row>
    <row r="23" spans="1:8" ht="14.25" customHeight="1">
      <c r="A23" s="92">
        <v>301</v>
      </c>
      <c r="B23" s="96" t="s">
        <v>239</v>
      </c>
      <c r="C23" s="96" t="s">
        <v>20</v>
      </c>
      <c r="D23" s="96" t="s">
        <v>109</v>
      </c>
      <c r="E23" s="103">
        <v>2.69E-2</v>
      </c>
      <c r="F23" s="104">
        <v>6.36</v>
      </c>
      <c r="G23" s="104">
        <v>9.36</v>
      </c>
      <c r="H23" s="99">
        <v>16800</v>
      </c>
    </row>
    <row r="24" spans="1:8" ht="14.25" customHeight="1">
      <c r="A24" s="92">
        <v>302</v>
      </c>
      <c r="B24" s="92" t="s">
        <v>41</v>
      </c>
      <c r="C24" s="92" t="s">
        <v>240</v>
      </c>
      <c r="D24" s="92" t="s">
        <v>111</v>
      </c>
      <c r="E24" s="93">
        <v>1.72E-2</v>
      </c>
      <c r="F24" s="22" t="s">
        <v>63</v>
      </c>
      <c r="G24" s="22" t="s">
        <v>63</v>
      </c>
      <c r="H24" s="22">
        <f>12*1150</f>
        <v>13800</v>
      </c>
    </row>
    <row r="25" spans="1:8" ht="14.25" customHeight="1">
      <c r="A25" s="92">
        <v>305</v>
      </c>
      <c r="B25" s="96" t="s">
        <v>21</v>
      </c>
      <c r="C25" s="96" t="s">
        <v>22</v>
      </c>
      <c r="D25" s="96" t="s">
        <v>112</v>
      </c>
      <c r="E25" s="103">
        <v>1.7000000000000001E-2</v>
      </c>
      <c r="F25" s="104">
        <v>14.3</v>
      </c>
      <c r="G25" s="104">
        <v>17.3</v>
      </c>
      <c r="H25" s="99">
        <v>19596</v>
      </c>
    </row>
    <row r="26" spans="1:8" ht="14.25" customHeight="1">
      <c r="A26" s="92">
        <v>307</v>
      </c>
      <c r="B26" s="92" t="s">
        <v>41</v>
      </c>
      <c r="C26" s="92" t="s">
        <v>241</v>
      </c>
      <c r="D26" s="92" t="s">
        <v>114</v>
      </c>
      <c r="E26" s="93">
        <v>2.1899999999999999E-2</v>
      </c>
      <c r="F26" s="22" t="s">
        <v>63</v>
      </c>
      <c r="G26" s="22" t="s">
        <v>63</v>
      </c>
      <c r="H26" s="22">
        <f>12*1463</f>
        <v>17556</v>
      </c>
    </row>
    <row r="27" spans="1:8" ht="14.25" customHeight="1">
      <c r="A27" s="92">
        <v>308</v>
      </c>
      <c r="B27" s="92" t="s">
        <v>23</v>
      </c>
      <c r="C27" s="92" t="s">
        <v>24</v>
      </c>
      <c r="D27" s="92" t="s">
        <v>117</v>
      </c>
      <c r="E27" s="93">
        <v>2.35E-2</v>
      </c>
      <c r="F27" s="94">
        <v>5.77</v>
      </c>
      <c r="G27" s="94">
        <v>8.77</v>
      </c>
      <c r="H27" s="95">
        <v>13740</v>
      </c>
    </row>
    <row r="28" spans="1:8" ht="14.25" customHeight="1">
      <c r="A28" s="92" t="s">
        <v>49</v>
      </c>
      <c r="B28" s="92" t="s">
        <v>41</v>
      </c>
      <c r="C28" s="92" t="s">
        <v>242</v>
      </c>
      <c r="D28" s="92" t="s">
        <v>119</v>
      </c>
      <c r="E28" s="93">
        <v>1.77E-2</v>
      </c>
      <c r="F28" s="22" t="s">
        <v>63</v>
      </c>
      <c r="G28" s="22" t="s">
        <v>63</v>
      </c>
      <c r="H28" s="22">
        <f>12*1170</f>
        <v>14040</v>
      </c>
    </row>
    <row r="29" spans="1:8" ht="14.25" customHeight="1">
      <c r="A29" s="92">
        <v>311</v>
      </c>
      <c r="B29" s="92" t="s">
        <v>41</v>
      </c>
      <c r="C29" s="92" t="s">
        <v>120</v>
      </c>
      <c r="D29" s="92" t="s">
        <v>121</v>
      </c>
      <c r="E29" s="93">
        <v>1.7299999999999999E-2</v>
      </c>
      <c r="F29" s="22" t="s">
        <v>63</v>
      </c>
      <c r="G29" s="22" t="s">
        <v>63</v>
      </c>
      <c r="H29" s="22">
        <f>10*1150</f>
        <v>11500</v>
      </c>
    </row>
    <row r="30" spans="1:8" ht="14.25" customHeight="1">
      <c r="A30" s="92">
        <v>312</v>
      </c>
      <c r="B30" s="92" t="s">
        <v>243</v>
      </c>
      <c r="C30" s="92"/>
      <c r="D30" s="92">
        <v>1175</v>
      </c>
      <c r="E30" s="93">
        <v>1.7600000000000001E-2</v>
      </c>
      <c r="F30" s="22" t="s">
        <v>63</v>
      </c>
      <c r="G30" s="22" t="s">
        <v>63</v>
      </c>
      <c r="H30" s="22">
        <f>10*D30</f>
        <v>11750</v>
      </c>
    </row>
    <row r="31" spans="1:8" ht="14.25" customHeight="1">
      <c r="A31" s="92">
        <v>330</v>
      </c>
      <c r="B31" s="92" t="s">
        <v>41</v>
      </c>
      <c r="C31" s="92" t="s">
        <v>244</v>
      </c>
      <c r="D31" s="92" t="s">
        <v>123</v>
      </c>
      <c r="E31" s="93">
        <v>4.2900000000000001E-2</v>
      </c>
      <c r="F31" s="94">
        <v>7</v>
      </c>
      <c r="G31" s="94">
        <v>10</v>
      </c>
      <c r="H31" s="98">
        <v>28600</v>
      </c>
    </row>
    <row r="32" spans="1:8" ht="14.25" customHeight="1">
      <c r="A32" s="92">
        <v>710</v>
      </c>
      <c r="B32" s="92" t="s">
        <v>124</v>
      </c>
      <c r="C32" s="92" t="s">
        <v>125</v>
      </c>
      <c r="D32" s="92" t="s">
        <v>126</v>
      </c>
      <c r="E32" s="93">
        <v>4.65E-2</v>
      </c>
      <c r="F32" s="94">
        <v>9</v>
      </c>
      <c r="G32" s="94">
        <v>12</v>
      </c>
      <c r="H32" s="95">
        <v>37200</v>
      </c>
    </row>
    <row r="33" spans="1:8" ht="14.25" customHeight="1">
      <c r="A33" s="92">
        <v>712</v>
      </c>
      <c r="B33" s="92" t="s">
        <v>124</v>
      </c>
      <c r="C33" s="92" t="s">
        <v>125</v>
      </c>
      <c r="D33" s="92" t="s">
        <v>127</v>
      </c>
      <c r="E33" s="93">
        <v>5.9900000000000002E-2</v>
      </c>
      <c r="F33" s="94">
        <v>9</v>
      </c>
      <c r="G33" s="94">
        <v>12</v>
      </c>
      <c r="H33" s="95">
        <v>48000</v>
      </c>
    </row>
    <row r="34" spans="1:8" ht="14.25" customHeight="1">
      <c r="A34" s="92" t="s">
        <v>129</v>
      </c>
      <c r="B34" s="92" t="s">
        <v>130</v>
      </c>
      <c r="C34" s="92" t="s">
        <v>131</v>
      </c>
      <c r="D34" s="92" t="s">
        <v>132</v>
      </c>
      <c r="E34" s="22"/>
      <c r="F34" s="22"/>
      <c r="G34" s="22"/>
      <c r="H34" s="95">
        <v>2640</v>
      </c>
    </row>
    <row r="35" spans="1:8" ht="14.25" customHeight="1">
      <c r="A35" s="22" t="s">
        <v>25</v>
      </c>
      <c r="B35" s="105" t="s">
        <v>26</v>
      </c>
      <c r="C35" s="105" t="s">
        <v>27</v>
      </c>
      <c r="D35" s="105"/>
      <c r="E35" s="105"/>
      <c r="F35" s="105"/>
      <c r="G35" s="105"/>
      <c r="H35" s="106">
        <v>10200</v>
      </c>
    </row>
    <row r="36" spans="1:8" ht="14.25" customHeight="1">
      <c r="A36" s="22"/>
      <c r="B36" s="22"/>
      <c r="C36" s="22"/>
      <c r="D36" s="22" t="s">
        <v>245</v>
      </c>
      <c r="E36" s="107">
        <v>1.02</v>
      </c>
      <c r="F36" s="22"/>
      <c r="G36" s="22" t="s">
        <v>246</v>
      </c>
      <c r="H36" s="108">
        <f>SUM(H2:H35)</f>
        <v>891096</v>
      </c>
    </row>
    <row r="37" spans="1:8" ht="14.25" customHeight="1">
      <c r="A37" s="22"/>
      <c r="B37" s="22"/>
      <c r="C37" s="22"/>
      <c r="D37" s="22"/>
      <c r="E37" s="22"/>
      <c r="F37" s="22"/>
      <c r="G37" s="22" t="s">
        <v>247</v>
      </c>
      <c r="H37" s="94">
        <f>H36/12</f>
        <v>74258</v>
      </c>
    </row>
    <row r="38" spans="1:8" ht="14.25" customHeight="1">
      <c r="A38" s="22"/>
      <c r="B38" s="22"/>
      <c r="C38" s="22"/>
      <c r="D38" s="22"/>
      <c r="E38" s="22"/>
      <c r="F38" s="22"/>
      <c r="G38" s="22"/>
      <c r="H38" s="22"/>
    </row>
    <row r="39" spans="1:8" ht="14.25" customHeight="1">
      <c r="A39" s="22"/>
      <c r="B39" s="22"/>
      <c r="C39" s="22"/>
      <c r="D39" s="22"/>
      <c r="E39" s="22"/>
      <c r="F39" s="22"/>
      <c r="G39" s="22"/>
      <c r="H39" s="108"/>
    </row>
    <row r="40" spans="1:8" ht="14.25" customHeight="1">
      <c r="A40" s="22"/>
      <c r="B40" s="22"/>
      <c r="C40" s="22"/>
      <c r="D40" s="22"/>
      <c r="E40" s="22"/>
      <c r="F40" s="22"/>
      <c r="G40" s="22"/>
      <c r="H40" s="109">
        <f>4500000*0.75</f>
        <v>3375000</v>
      </c>
    </row>
    <row r="41" spans="1:8" ht="14.25" customHeight="1">
      <c r="A41" s="22"/>
      <c r="B41" s="22"/>
      <c r="C41" s="22"/>
      <c r="D41" s="22"/>
      <c r="E41" s="22"/>
      <c r="F41" s="22"/>
      <c r="G41" s="22"/>
      <c r="H41" s="22"/>
    </row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1000"/>
  <sheetViews>
    <sheetView workbookViewId="0"/>
  </sheetViews>
  <sheetFormatPr defaultColWidth="14.42578125" defaultRowHeight="15" customHeight="1"/>
  <cols>
    <col min="1" max="1" width="19.85546875" customWidth="1"/>
    <col min="2" max="2" width="13.85546875" customWidth="1"/>
    <col min="3" max="5" width="11.85546875" customWidth="1"/>
    <col min="6" max="6" width="13.28515625" customWidth="1"/>
    <col min="7" max="7" width="12.140625" customWidth="1"/>
    <col min="8" max="9" width="8.85546875" customWidth="1"/>
    <col min="10" max="10" width="12" customWidth="1"/>
    <col min="11" max="12" width="8.85546875" customWidth="1"/>
    <col min="13" max="13" width="12.85546875" customWidth="1"/>
    <col min="14" max="15" width="8.7109375" customWidth="1"/>
    <col min="16" max="16" width="11.5703125" customWidth="1"/>
    <col min="17" max="20" width="9.28515625" customWidth="1"/>
    <col min="21" max="21" width="9.85546875" customWidth="1"/>
    <col min="22" max="22" width="11.140625" customWidth="1"/>
    <col min="23" max="23" width="11" customWidth="1"/>
    <col min="24" max="24" width="11.5703125" customWidth="1"/>
    <col min="25" max="25" width="11.140625" customWidth="1"/>
    <col min="26" max="26" width="11.7109375" customWidth="1"/>
    <col min="27" max="27" width="11.140625" customWidth="1"/>
    <col min="28" max="28" width="8.7109375" customWidth="1"/>
    <col min="29" max="29" width="11.42578125" customWidth="1"/>
    <col min="30" max="39" width="9.28515625" customWidth="1"/>
    <col min="40" max="40" width="15" customWidth="1"/>
    <col min="41" max="41" width="9.28515625" customWidth="1"/>
  </cols>
  <sheetData>
    <row r="1" spans="1:41" ht="14.25" customHeight="1">
      <c r="A1" s="6" t="s">
        <v>248</v>
      </c>
      <c r="B1" s="6">
        <v>300000</v>
      </c>
    </row>
    <row r="2" spans="1:41" ht="14.25" customHeight="1">
      <c r="B2" s="6" t="s">
        <v>210</v>
      </c>
      <c r="P2" s="6" t="s">
        <v>211</v>
      </c>
      <c r="AD2" s="6" t="s">
        <v>211</v>
      </c>
    </row>
    <row r="3" spans="1:41" ht="14.25" customHeight="1">
      <c r="B3" s="6" t="s">
        <v>249</v>
      </c>
      <c r="C3" s="6" t="s">
        <v>250</v>
      </c>
      <c r="D3" s="6" t="s">
        <v>251</v>
      </c>
      <c r="E3" s="6" t="s">
        <v>252</v>
      </c>
      <c r="F3" s="6" t="s">
        <v>253</v>
      </c>
      <c r="G3" s="6" t="s">
        <v>254</v>
      </c>
      <c r="H3" s="6" t="s">
        <v>255</v>
      </c>
      <c r="I3" s="6" t="s">
        <v>256</v>
      </c>
      <c r="J3" s="6" t="s">
        <v>257</v>
      </c>
      <c r="K3" s="6" t="s">
        <v>258</v>
      </c>
      <c r="L3" s="6" t="s">
        <v>259</v>
      </c>
      <c r="M3" s="6" t="s">
        <v>260</v>
      </c>
      <c r="P3" s="6" t="s">
        <v>249</v>
      </c>
      <c r="Q3" s="6" t="s">
        <v>250</v>
      </c>
      <c r="R3" s="6" t="s">
        <v>251</v>
      </c>
      <c r="S3" s="6" t="s">
        <v>252</v>
      </c>
      <c r="T3" s="6" t="s">
        <v>253</v>
      </c>
      <c r="U3" s="6" t="s">
        <v>254</v>
      </c>
      <c r="V3" s="6" t="s">
        <v>255</v>
      </c>
      <c r="W3" s="6" t="s">
        <v>256</v>
      </c>
      <c r="X3" s="6" t="s">
        <v>257</v>
      </c>
      <c r="Y3" s="6" t="s">
        <v>258</v>
      </c>
      <c r="Z3" s="6" t="s">
        <v>259</v>
      </c>
      <c r="AA3" s="6" t="s">
        <v>260</v>
      </c>
      <c r="AD3" s="6" t="s">
        <v>249</v>
      </c>
      <c r="AE3" s="6" t="s">
        <v>250</v>
      </c>
      <c r="AF3" s="6" t="s">
        <v>251</v>
      </c>
      <c r="AG3" s="6" t="s">
        <v>252</v>
      </c>
      <c r="AH3" s="6" t="s">
        <v>253</v>
      </c>
      <c r="AI3" s="6" t="s">
        <v>254</v>
      </c>
      <c r="AJ3" s="6" t="s">
        <v>255</v>
      </c>
      <c r="AK3" s="6" t="s">
        <v>256</v>
      </c>
      <c r="AL3" s="6" t="s">
        <v>257</v>
      </c>
      <c r="AM3" s="6" t="s">
        <v>258</v>
      </c>
      <c r="AN3" s="6" t="s">
        <v>259</v>
      </c>
      <c r="AO3" s="6" t="s">
        <v>260</v>
      </c>
    </row>
    <row r="4" spans="1:41" ht="14.25" customHeight="1">
      <c r="A4" s="6" t="s">
        <v>261</v>
      </c>
      <c r="B4" s="61">
        <v>52030</v>
      </c>
      <c r="C4" s="61">
        <f>B4+6*2450/12</f>
        <v>53255</v>
      </c>
      <c r="D4" s="61">
        <f>C4</f>
        <v>53255</v>
      </c>
      <c r="E4" s="61">
        <f>D4+2663*16/12</f>
        <v>56805.666666666664</v>
      </c>
      <c r="F4" s="61">
        <f t="shared" ref="F4:G4" si="0">E4</f>
        <v>56805.666666666664</v>
      </c>
      <c r="G4" s="61">
        <f t="shared" si="0"/>
        <v>56805.666666666664</v>
      </c>
      <c r="H4" s="61">
        <f>G4+2287*16/12</f>
        <v>59855</v>
      </c>
      <c r="I4" s="61">
        <f t="shared" ref="I4:M4" si="1">H4</f>
        <v>59855</v>
      </c>
      <c r="J4" s="61">
        <f t="shared" si="1"/>
        <v>59855</v>
      </c>
      <c r="K4" s="61">
        <f t="shared" si="1"/>
        <v>59855</v>
      </c>
      <c r="L4" s="61">
        <f t="shared" si="1"/>
        <v>59855</v>
      </c>
      <c r="M4" s="61">
        <f t="shared" si="1"/>
        <v>59855</v>
      </c>
      <c r="N4" s="61"/>
      <c r="O4" s="6" t="s">
        <v>261</v>
      </c>
      <c r="P4" s="61">
        <f>M4+0.03*B4</f>
        <v>61415.9</v>
      </c>
      <c r="Q4" s="61">
        <f>P4+65000/12</f>
        <v>66832.566666666666</v>
      </c>
      <c r="R4" s="61">
        <f>Q4</f>
        <v>66832.566666666666</v>
      </c>
      <c r="S4" s="61">
        <f>R4+1463*10/12</f>
        <v>68051.733333333337</v>
      </c>
      <c r="T4" s="61">
        <f t="shared" ref="T4:AA4" si="2">S4</f>
        <v>68051.733333333337</v>
      </c>
      <c r="U4" s="61">
        <f t="shared" si="2"/>
        <v>68051.733333333337</v>
      </c>
      <c r="V4" s="61">
        <f t="shared" si="2"/>
        <v>68051.733333333337</v>
      </c>
      <c r="W4" s="61">
        <f t="shared" si="2"/>
        <v>68051.733333333337</v>
      </c>
      <c r="X4" s="61">
        <f t="shared" si="2"/>
        <v>68051.733333333337</v>
      </c>
      <c r="Y4" s="61">
        <f t="shared" si="2"/>
        <v>68051.733333333337</v>
      </c>
      <c r="Z4" s="61">
        <f t="shared" si="2"/>
        <v>68051.733333333337</v>
      </c>
      <c r="AA4" s="61">
        <f t="shared" si="2"/>
        <v>68051.733333333337</v>
      </c>
      <c r="AC4" s="6" t="s">
        <v>261</v>
      </c>
      <c r="AD4" s="61">
        <f>AA4+P4*0.03</f>
        <v>69894.210333333336</v>
      </c>
      <c r="AE4" s="61">
        <f t="shared" ref="AE4:AO4" si="3">AD4</f>
        <v>69894.210333333336</v>
      </c>
      <c r="AF4" s="61">
        <f t="shared" si="3"/>
        <v>69894.210333333336</v>
      </c>
      <c r="AG4" s="61">
        <f t="shared" si="3"/>
        <v>69894.210333333336</v>
      </c>
      <c r="AH4" s="61">
        <f t="shared" si="3"/>
        <v>69894.210333333336</v>
      </c>
      <c r="AI4" s="61">
        <f t="shared" si="3"/>
        <v>69894.210333333336</v>
      </c>
      <c r="AJ4" s="61">
        <f t="shared" si="3"/>
        <v>69894.210333333336</v>
      </c>
      <c r="AK4" s="61">
        <f t="shared" si="3"/>
        <v>69894.210333333336</v>
      </c>
      <c r="AL4" s="61">
        <f t="shared" si="3"/>
        <v>69894.210333333336</v>
      </c>
      <c r="AM4" s="61">
        <f t="shared" si="3"/>
        <v>69894.210333333336</v>
      </c>
      <c r="AN4" s="61">
        <f t="shared" si="3"/>
        <v>69894.210333333336</v>
      </c>
      <c r="AO4" s="61">
        <f t="shared" si="3"/>
        <v>69894.210333333336</v>
      </c>
    </row>
    <row r="5" spans="1:41" ht="14.25" customHeight="1">
      <c r="A5" s="6" t="s">
        <v>262</v>
      </c>
      <c r="B5" s="61">
        <f t="shared" ref="B5:M5" si="4">6153/12</f>
        <v>512.75</v>
      </c>
      <c r="C5" s="61">
        <f t="shared" si="4"/>
        <v>512.75</v>
      </c>
      <c r="D5" s="61">
        <f t="shared" si="4"/>
        <v>512.75</v>
      </c>
      <c r="E5" s="61">
        <f t="shared" si="4"/>
        <v>512.75</v>
      </c>
      <c r="F5" s="61">
        <f t="shared" si="4"/>
        <v>512.75</v>
      </c>
      <c r="G5" s="61">
        <f t="shared" si="4"/>
        <v>512.75</v>
      </c>
      <c r="H5" s="61">
        <f t="shared" si="4"/>
        <v>512.75</v>
      </c>
      <c r="I5" s="61">
        <f t="shared" si="4"/>
        <v>512.75</v>
      </c>
      <c r="J5" s="61">
        <f t="shared" si="4"/>
        <v>512.75</v>
      </c>
      <c r="K5" s="61">
        <f t="shared" si="4"/>
        <v>512.75</v>
      </c>
      <c r="L5" s="61">
        <f t="shared" si="4"/>
        <v>512.75</v>
      </c>
      <c r="M5" s="61">
        <f t="shared" si="4"/>
        <v>512.75</v>
      </c>
      <c r="N5" s="61"/>
      <c r="O5" s="6" t="s">
        <v>262</v>
      </c>
      <c r="P5" s="61">
        <v>2000</v>
      </c>
      <c r="Q5" s="61">
        <v>2000</v>
      </c>
      <c r="R5" s="61">
        <v>2000</v>
      </c>
      <c r="S5" s="61">
        <v>2000</v>
      </c>
      <c r="T5" s="61">
        <v>2000</v>
      </c>
      <c r="U5" s="61">
        <v>2000</v>
      </c>
      <c r="V5" s="61">
        <v>2000</v>
      </c>
      <c r="W5" s="61">
        <v>2000</v>
      </c>
      <c r="X5" s="61">
        <v>2000</v>
      </c>
      <c r="Y5" s="61">
        <v>2000</v>
      </c>
      <c r="Z5" s="61">
        <v>2000</v>
      </c>
      <c r="AA5" s="61">
        <v>2000</v>
      </c>
      <c r="AC5" s="6" t="s">
        <v>262</v>
      </c>
      <c r="AD5" s="61">
        <v>2000</v>
      </c>
      <c r="AE5" s="61">
        <v>2000</v>
      </c>
      <c r="AF5" s="61">
        <v>2000</v>
      </c>
      <c r="AG5" s="61">
        <v>2000</v>
      </c>
      <c r="AH5" s="61">
        <v>2000</v>
      </c>
      <c r="AI5" s="61">
        <v>2000</v>
      </c>
      <c r="AJ5" s="61">
        <v>2000</v>
      </c>
      <c r="AK5" s="61">
        <v>2000</v>
      </c>
      <c r="AL5" s="61">
        <v>2000</v>
      </c>
      <c r="AM5" s="61">
        <v>2000</v>
      </c>
      <c r="AN5" s="61">
        <v>2000</v>
      </c>
      <c r="AO5" s="61">
        <v>2000</v>
      </c>
    </row>
    <row r="6" spans="1:41" ht="14.25" customHeight="1">
      <c r="A6" s="6" t="s">
        <v>263</v>
      </c>
      <c r="B6" s="61">
        <f t="shared" ref="B6:M6" si="5">SUM(B4:B5)</f>
        <v>52542.75</v>
      </c>
      <c r="C6" s="61">
        <f t="shared" si="5"/>
        <v>53767.75</v>
      </c>
      <c r="D6" s="61">
        <f t="shared" si="5"/>
        <v>53767.75</v>
      </c>
      <c r="E6" s="61">
        <f t="shared" si="5"/>
        <v>57318.416666666664</v>
      </c>
      <c r="F6" s="61">
        <f t="shared" si="5"/>
        <v>57318.416666666664</v>
      </c>
      <c r="G6" s="61">
        <f t="shared" si="5"/>
        <v>57318.416666666664</v>
      </c>
      <c r="H6" s="61">
        <f t="shared" si="5"/>
        <v>60367.75</v>
      </c>
      <c r="I6" s="61">
        <f t="shared" si="5"/>
        <v>60367.75</v>
      </c>
      <c r="J6" s="61">
        <f t="shared" si="5"/>
        <v>60367.75</v>
      </c>
      <c r="K6" s="61">
        <f t="shared" si="5"/>
        <v>60367.75</v>
      </c>
      <c r="L6" s="61">
        <f t="shared" si="5"/>
        <v>60367.75</v>
      </c>
      <c r="M6" s="61">
        <f t="shared" si="5"/>
        <v>60367.75</v>
      </c>
      <c r="N6" s="61"/>
      <c r="O6" s="6" t="s">
        <v>263</v>
      </c>
      <c r="P6" s="61">
        <f t="shared" ref="P6:AA6" si="6">SUM(P4:P5)</f>
        <v>63415.9</v>
      </c>
      <c r="Q6" s="61">
        <f t="shared" si="6"/>
        <v>68832.566666666666</v>
      </c>
      <c r="R6" s="61">
        <f t="shared" si="6"/>
        <v>68832.566666666666</v>
      </c>
      <c r="S6" s="61">
        <f t="shared" si="6"/>
        <v>70051.733333333337</v>
      </c>
      <c r="T6" s="61">
        <f t="shared" si="6"/>
        <v>70051.733333333337</v>
      </c>
      <c r="U6" s="61">
        <f t="shared" si="6"/>
        <v>70051.733333333337</v>
      </c>
      <c r="V6" s="61">
        <f t="shared" si="6"/>
        <v>70051.733333333337</v>
      </c>
      <c r="W6" s="61">
        <f t="shared" si="6"/>
        <v>70051.733333333337</v>
      </c>
      <c r="X6" s="61">
        <f t="shared" si="6"/>
        <v>70051.733333333337</v>
      </c>
      <c r="Y6" s="61">
        <f t="shared" si="6"/>
        <v>70051.733333333337</v>
      </c>
      <c r="Z6" s="61">
        <f t="shared" si="6"/>
        <v>70051.733333333337</v>
      </c>
      <c r="AA6" s="61">
        <f t="shared" si="6"/>
        <v>70051.733333333337</v>
      </c>
      <c r="AC6" s="6" t="s">
        <v>263</v>
      </c>
      <c r="AD6" s="61">
        <f t="shared" ref="AD6:AO6" si="7">SUM(AD4:AD5)</f>
        <v>71894.210333333336</v>
      </c>
      <c r="AE6" s="61">
        <f t="shared" si="7"/>
        <v>71894.210333333336</v>
      </c>
      <c r="AF6" s="61">
        <f t="shared" si="7"/>
        <v>71894.210333333336</v>
      </c>
      <c r="AG6" s="61">
        <f t="shared" si="7"/>
        <v>71894.210333333336</v>
      </c>
      <c r="AH6" s="61">
        <f t="shared" si="7"/>
        <v>71894.210333333336</v>
      </c>
      <c r="AI6" s="61">
        <f t="shared" si="7"/>
        <v>71894.210333333336</v>
      </c>
      <c r="AJ6" s="61">
        <f t="shared" si="7"/>
        <v>71894.210333333336</v>
      </c>
      <c r="AK6" s="61">
        <f t="shared" si="7"/>
        <v>71894.210333333336</v>
      </c>
      <c r="AL6" s="61">
        <f t="shared" si="7"/>
        <v>71894.210333333336</v>
      </c>
      <c r="AM6" s="61">
        <f t="shared" si="7"/>
        <v>71894.210333333336</v>
      </c>
      <c r="AN6" s="61">
        <f t="shared" si="7"/>
        <v>71894.210333333336</v>
      </c>
      <c r="AO6" s="61">
        <f t="shared" si="7"/>
        <v>71894.210333333336</v>
      </c>
    </row>
    <row r="7" spans="1:41" ht="14.25" customHeight="1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</row>
    <row r="8" spans="1:41" ht="14.25" customHeight="1">
      <c r="A8" s="22" t="s">
        <v>179</v>
      </c>
      <c r="B8" s="61"/>
      <c r="C8" s="61"/>
      <c r="D8" s="61"/>
      <c r="E8" s="61"/>
      <c r="F8" s="61"/>
      <c r="G8" s="61"/>
      <c r="H8" s="61"/>
      <c r="I8" s="61"/>
      <c r="J8" s="61"/>
      <c r="K8" s="110">
        <v>57000</v>
      </c>
      <c r="L8" s="61" t="s">
        <v>264</v>
      </c>
      <c r="M8" s="61"/>
      <c r="N8" s="61"/>
      <c r="O8" s="22" t="s">
        <v>179</v>
      </c>
      <c r="P8" s="61"/>
      <c r="Q8" s="61"/>
      <c r="R8" s="61"/>
      <c r="S8" s="61"/>
      <c r="T8" s="61"/>
      <c r="U8" s="61"/>
      <c r="V8" s="61"/>
      <c r="W8" s="61"/>
      <c r="X8" s="61"/>
      <c r="Y8" s="110">
        <f>K8*1.5</f>
        <v>85500</v>
      </c>
      <c r="Z8" s="61" t="s">
        <v>264</v>
      </c>
      <c r="AA8" s="61"/>
      <c r="AC8" s="22" t="s">
        <v>179</v>
      </c>
      <c r="AD8" s="61"/>
      <c r="AE8" s="61"/>
      <c r="AF8" s="61"/>
      <c r="AG8" s="61"/>
      <c r="AH8" s="61"/>
      <c r="AI8" s="61"/>
      <c r="AJ8" s="61"/>
      <c r="AK8" s="61"/>
      <c r="AL8" s="61"/>
      <c r="AM8" s="110">
        <v>85000</v>
      </c>
      <c r="AN8" s="61" t="s">
        <v>264</v>
      </c>
      <c r="AO8" s="61"/>
    </row>
    <row r="9" spans="1:41" ht="14.25" customHeight="1">
      <c r="A9" s="22" t="s">
        <v>180</v>
      </c>
      <c r="B9" s="61">
        <f>20000/4</f>
        <v>5000</v>
      </c>
      <c r="C9" s="61"/>
      <c r="D9" s="61"/>
      <c r="E9" s="61">
        <v>5000</v>
      </c>
      <c r="F9" s="61"/>
      <c r="G9" s="61"/>
      <c r="H9" s="61">
        <v>5000</v>
      </c>
      <c r="I9" s="61"/>
      <c r="J9" s="61"/>
      <c r="K9" s="61">
        <v>5000</v>
      </c>
      <c r="L9" s="61"/>
      <c r="M9" s="61"/>
      <c r="N9" s="61"/>
      <c r="O9" s="22" t="s">
        <v>180</v>
      </c>
      <c r="P9" s="61">
        <f>K9*1.5</f>
        <v>7500</v>
      </c>
      <c r="Q9" s="61"/>
      <c r="R9" s="61"/>
      <c r="S9" s="61">
        <f>P9</f>
        <v>7500</v>
      </c>
      <c r="T9" s="61"/>
      <c r="U9" s="61"/>
      <c r="V9" s="61">
        <f>S9</f>
        <v>7500</v>
      </c>
      <c r="W9" s="61"/>
      <c r="X9" s="61"/>
      <c r="Y9" s="61">
        <f>V9</f>
        <v>7500</v>
      </c>
      <c r="Z9" s="61"/>
      <c r="AA9" s="61"/>
      <c r="AC9" s="22" t="s">
        <v>180</v>
      </c>
      <c r="AD9" s="61">
        <f>Y9*1.5</f>
        <v>11250</v>
      </c>
      <c r="AE9" s="61"/>
      <c r="AF9" s="61"/>
      <c r="AG9" s="61">
        <f>AD9</f>
        <v>11250</v>
      </c>
      <c r="AH9" s="61"/>
      <c r="AI9" s="61"/>
      <c r="AJ9" s="61">
        <f>AG9</f>
        <v>11250</v>
      </c>
      <c r="AK9" s="61"/>
      <c r="AL9" s="61"/>
      <c r="AM9" s="61">
        <f>AJ9</f>
        <v>11250</v>
      </c>
      <c r="AN9" s="61"/>
      <c r="AO9" s="61"/>
    </row>
    <row r="10" spans="1:41" ht="14.25" customHeight="1">
      <c r="A10" s="22" t="s">
        <v>188</v>
      </c>
      <c r="B10" s="61">
        <f t="shared" ref="B10:M10" si="8">0.02*B4</f>
        <v>1040.5999999999999</v>
      </c>
      <c r="C10" s="61">
        <f t="shared" si="8"/>
        <v>1065.0999999999999</v>
      </c>
      <c r="D10" s="61">
        <f t="shared" si="8"/>
        <v>1065.0999999999999</v>
      </c>
      <c r="E10" s="61">
        <f t="shared" si="8"/>
        <v>1136.1133333333332</v>
      </c>
      <c r="F10" s="61">
        <f t="shared" si="8"/>
        <v>1136.1133333333332</v>
      </c>
      <c r="G10" s="61">
        <f t="shared" si="8"/>
        <v>1136.1133333333332</v>
      </c>
      <c r="H10" s="61">
        <f t="shared" si="8"/>
        <v>1197.1000000000001</v>
      </c>
      <c r="I10" s="61">
        <f t="shared" si="8"/>
        <v>1197.1000000000001</v>
      </c>
      <c r="J10" s="61">
        <f t="shared" si="8"/>
        <v>1197.1000000000001</v>
      </c>
      <c r="K10" s="61">
        <f t="shared" si="8"/>
        <v>1197.1000000000001</v>
      </c>
      <c r="L10" s="61">
        <f t="shared" si="8"/>
        <v>1197.1000000000001</v>
      </c>
      <c r="M10" s="61">
        <f t="shared" si="8"/>
        <v>1197.1000000000001</v>
      </c>
      <c r="N10" s="61"/>
      <c r="O10" s="22" t="s">
        <v>188</v>
      </c>
      <c r="P10" s="61">
        <f t="shared" ref="P10:AA10" si="9">0.02*P4</f>
        <v>1228.318</v>
      </c>
      <c r="Q10" s="61">
        <f t="shared" si="9"/>
        <v>1336.6513333333332</v>
      </c>
      <c r="R10" s="61">
        <f t="shared" si="9"/>
        <v>1336.6513333333332</v>
      </c>
      <c r="S10" s="61">
        <f t="shared" si="9"/>
        <v>1361.0346666666667</v>
      </c>
      <c r="T10" s="61">
        <f t="shared" si="9"/>
        <v>1361.0346666666667</v>
      </c>
      <c r="U10" s="61">
        <f t="shared" si="9"/>
        <v>1361.0346666666667</v>
      </c>
      <c r="V10" s="61">
        <f t="shared" si="9"/>
        <v>1361.0346666666667</v>
      </c>
      <c r="W10" s="61">
        <f t="shared" si="9"/>
        <v>1361.0346666666667</v>
      </c>
      <c r="X10" s="61">
        <f t="shared" si="9"/>
        <v>1361.0346666666667</v>
      </c>
      <c r="Y10" s="61">
        <f t="shared" si="9"/>
        <v>1361.0346666666667</v>
      </c>
      <c r="Z10" s="61">
        <f t="shared" si="9"/>
        <v>1361.0346666666667</v>
      </c>
      <c r="AA10" s="61">
        <f t="shared" si="9"/>
        <v>1361.0346666666667</v>
      </c>
      <c r="AC10" s="22" t="s">
        <v>188</v>
      </c>
      <c r="AD10" s="61">
        <f t="shared" ref="AD10:AO10" si="10">0.02*AD4</f>
        <v>1397.8842066666668</v>
      </c>
      <c r="AE10" s="61">
        <f t="shared" si="10"/>
        <v>1397.8842066666668</v>
      </c>
      <c r="AF10" s="61">
        <f t="shared" si="10"/>
        <v>1397.8842066666668</v>
      </c>
      <c r="AG10" s="61">
        <f t="shared" si="10"/>
        <v>1397.8842066666668</v>
      </c>
      <c r="AH10" s="61">
        <f t="shared" si="10"/>
        <v>1397.8842066666668</v>
      </c>
      <c r="AI10" s="61">
        <f t="shared" si="10"/>
        <v>1397.8842066666668</v>
      </c>
      <c r="AJ10" s="61">
        <f t="shared" si="10"/>
        <v>1397.8842066666668</v>
      </c>
      <c r="AK10" s="61">
        <f t="shared" si="10"/>
        <v>1397.8842066666668</v>
      </c>
      <c r="AL10" s="61">
        <f t="shared" si="10"/>
        <v>1397.8842066666668</v>
      </c>
      <c r="AM10" s="61">
        <f t="shared" si="10"/>
        <v>1397.8842066666668</v>
      </c>
      <c r="AN10" s="61">
        <f t="shared" si="10"/>
        <v>1397.8842066666668</v>
      </c>
      <c r="AO10" s="61">
        <f t="shared" si="10"/>
        <v>1397.8842066666668</v>
      </c>
    </row>
    <row r="11" spans="1:41" ht="14.25" customHeight="1">
      <c r="A11" s="22" t="s">
        <v>205</v>
      </c>
      <c r="B11" s="61">
        <f t="shared" ref="B11:M11" si="11">30000/12</f>
        <v>2500</v>
      </c>
      <c r="C11" s="61">
        <f t="shared" si="11"/>
        <v>2500</v>
      </c>
      <c r="D11" s="61">
        <f t="shared" si="11"/>
        <v>2500</v>
      </c>
      <c r="E11" s="61">
        <f t="shared" si="11"/>
        <v>2500</v>
      </c>
      <c r="F11" s="61">
        <f t="shared" si="11"/>
        <v>2500</v>
      </c>
      <c r="G11" s="61">
        <f t="shared" si="11"/>
        <v>2500</v>
      </c>
      <c r="H11" s="61">
        <f t="shared" si="11"/>
        <v>2500</v>
      </c>
      <c r="I11" s="61">
        <f t="shared" si="11"/>
        <v>2500</v>
      </c>
      <c r="J11" s="61">
        <f t="shared" si="11"/>
        <v>2500</v>
      </c>
      <c r="K11" s="61">
        <f t="shared" si="11"/>
        <v>2500</v>
      </c>
      <c r="L11" s="61">
        <f t="shared" si="11"/>
        <v>2500</v>
      </c>
      <c r="M11" s="61">
        <f t="shared" si="11"/>
        <v>2500</v>
      </c>
      <c r="N11" s="61"/>
      <c r="O11" s="22" t="s">
        <v>205</v>
      </c>
      <c r="P11" s="61">
        <f t="shared" ref="P11:AA11" si="12">30000/12</f>
        <v>2500</v>
      </c>
      <c r="Q11" s="61">
        <f t="shared" si="12"/>
        <v>2500</v>
      </c>
      <c r="R11" s="61">
        <f t="shared" si="12"/>
        <v>2500</v>
      </c>
      <c r="S11" s="61">
        <f t="shared" si="12"/>
        <v>2500</v>
      </c>
      <c r="T11" s="61">
        <f t="shared" si="12"/>
        <v>2500</v>
      </c>
      <c r="U11" s="61">
        <f t="shared" si="12"/>
        <v>2500</v>
      </c>
      <c r="V11" s="61">
        <f t="shared" si="12"/>
        <v>2500</v>
      </c>
      <c r="W11" s="61">
        <f t="shared" si="12"/>
        <v>2500</v>
      </c>
      <c r="X11" s="61">
        <f t="shared" si="12"/>
        <v>2500</v>
      </c>
      <c r="Y11" s="61">
        <f t="shared" si="12"/>
        <v>2500</v>
      </c>
      <c r="Z11" s="61">
        <f t="shared" si="12"/>
        <v>2500</v>
      </c>
      <c r="AA11" s="61">
        <f t="shared" si="12"/>
        <v>2500</v>
      </c>
      <c r="AC11" s="22" t="s">
        <v>205</v>
      </c>
      <c r="AD11" s="61">
        <f t="shared" ref="AD11:AO11" si="13">30000/12</f>
        <v>2500</v>
      </c>
      <c r="AE11" s="61">
        <f t="shared" si="13"/>
        <v>2500</v>
      </c>
      <c r="AF11" s="61">
        <f t="shared" si="13"/>
        <v>2500</v>
      </c>
      <c r="AG11" s="61">
        <f t="shared" si="13"/>
        <v>2500</v>
      </c>
      <c r="AH11" s="61">
        <f t="shared" si="13"/>
        <v>2500</v>
      </c>
      <c r="AI11" s="61">
        <f t="shared" si="13"/>
        <v>2500</v>
      </c>
      <c r="AJ11" s="61">
        <f t="shared" si="13"/>
        <v>2500</v>
      </c>
      <c r="AK11" s="61">
        <f t="shared" si="13"/>
        <v>2500</v>
      </c>
      <c r="AL11" s="61">
        <f t="shared" si="13"/>
        <v>2500</v>
      </c>
      <c r="AM11" s="61">
        <f t="shared" si="13"/>
        <v>2500</v>
      </c>
      <c r="AN11" s="61">
        <f t="shared" si="13"/>
        <v>2500</v>
      </c>
      <c r="AO11" s="61">
        <f t="shared" si="13"/>
        <v>2500</v>
      </c>
    </row>
    <row r="12" spans="1:41" ht="14.25" customHeight="1">
      <c r="A12" s="22" t="s">
        <v>206</v>
      </c>
      <c r="B12" s="110">
        <f t="shared" ref="B12:M12" si="14">3000</f>
        <v>3000</v>
      </c>
      <c r="C12" s="61">
        <f t="shared" si="14"/>
        <v>3000</v>
      </c>
      <c r="D12" s="61">
        <f t="shared" si="14"/>
        <v>3000</v>
      </c>
      <c r="E12" s="61">
        <f t="shared" si="14"/>
        <v>3000</v>
      </c>
      <c r="F12" s="61">
        <f t="shared" si="14"/>
        <v>3000</v>
      </c>
      <c r="G12" s="61">
        <f t="shared" si="14"/>
        <v>3000</v>
      </c>
      <c r="H12" s="61">
        <f t="shared" si="14"/>
        <v>3000</v>
      </c>
      <c r="I12" s="61">
        <f t="shared" si="14"/>
        <v>3000</v>
      </c>
      <c r="J12" s="61">
        <f t="shared" si="14"/>
        <v>3000</v>
      </c>
      <c r="K12" s="61">
        <f t="shared" si="14"/>
        <v>3000</v>
      </c>
      <c r="L12" s="61">
        <f t="shared" si="14"/>
        <v>3000</v>
      </c>
      <c r="M12" s="61">
        <f t="shared" si="14"/>
        <v>3000</v>
      </c>
      <c r="N12" s="61"/>
      <c r="O12" s="22" t="s">
        <v>206</v>
      </c>
      <c r="P12" s="111">
        <v>4000</v>
      </c>
      <c r="Q12" s="111">
        <v>4000</v>
      </c>
      <c r="R12" s="111">
        <v>4000</v>
      </c>
      <c r="S12" s="111">
        <v>4000</v>
      </c>
      <c r="T12" s="111">
        <v>4000</v>
      </c>
      <c r="U12" s="111">
        <v>4000</v>
      </c>
      <c r="V12" s="111">
        <v>4000</v>
      </c>
      <c r="W12" s="111">
        <v>4000</v>
      </c>
      <c r="X12" s="111">
        <v>4000</v>
      </c>
      <c r="Y12" s="111">
        <v>4000</v>
      </c>
      <c r="Z12" s="111">
        <v>4000</v>
      </c>
      <c r="AA12" s="111">
        <v>4000</v>
      </c>
      <c r="AC12" s="22" t="s">
        <v>206</v>
      </c>
      <c r="AD12" s="111">
        <v>4000</v>
      </c>
      <c r="AE12" s="111">
        <v>4000</v>
      </c>
      <c r="AF12" s="111">
        <v>4000</v>
      </c>
      <c r="AG12" s="111">
        <v>4000</v>
      </c>
      <c r="AH12" s="111">
        <v>4000</v>
      </c>
      <c r="AI12" s="111">
        <v>4000</v>
      </c>
      <c r="AJ12" s="111">
        <v>4000</v>
      </c>
      <c r="AK12" s="111">
        <v>4000</v>
      </c>
      <c r="AL12" s="111">
        <v>4000</v>
      </c>
      <c r="AM12" s="111">
        <v>4000</v>
      </c>
      <c r="AN12" s="111">
        <v>4000</v>
      </c>
      <c r="AO12" s="111">
        <v>4000</v>
      </c>
    </row>
    <row r="13" spans="1:41" ht="14.25" customHeight="1">
      <c r="A13" s="22" t="s">
        <v>207</v>
      </c>
      <c r="B13" s="61">
        <f t="shared" ref="B13:M13" si="15">10000/12</f>
        <v>833.33333333333337</v>
      </c>
      <c r="C13" s="61">
        <f t="shared" si="15"/>
        <v>833.33333333333337</v>
      </c>
      <c r="D13" s="61">
        <f t="shared" si="15"/>
        <v>833.33333333333337</v>
      </c>
      <c r="E13" s="61">
        <f t="shared" si="15"/>
        <v>833.33333333333337</v>
      </c>
      <c r="F13" s="61">
        <f t="shared" si="15"/>
        <v>833.33333333333337</v>
      </c>
      <c r="G13" s="61">
        <f t="shared" si="15"/>
        <v>833.33333333333337</v>
      </c>
      <c r="H13" s="61">
        <f t="shared" si="15"/>
        <v>833.33333333333337</v>
      </c>
      <c r="I13" s="61">
        <f t="shared" si="15"/>
        <v>833.33333333333337</v>
      </c>
      <c r="J13" s="61">
        <f t="shared" si="15"/>
        <v>833.33333333333337</v>
      </c>
      <c r="K13" s="61">
        <f t="shared" si="15"/>
        <v>833.33333333333337</v>
      </c>
      <c r="L13" s="61">
        <f t="shared" si="15"/>
        <v>833.33333333333337</v>
      </c>
      <c r="M13" s="61">
        <f t="shared" si="15"/>
        <v>833.33333333333337</v>
      </c>
      <c r="N13" s="61"/>
      <c r="O13" s="22" t="s">
        <v>207</v>
      </c>
      <c r="P13" s="61">
        <f t="shared" ref="P13:AA13" si="16">10000/12</f>
        <v>833.33333333333337</v>
      </c>
      <c r="Q13" s="61">
        <f t="shared" si="16"/>
        <v>833.33333333333337</v>
      </c>
      <c r="R13" s="61">
        <f t="shared" si="16"/>
        <v>833.33333333333337</v>
      </c>
      <c r="S13" s="61">
        <f t="shared" si="16"/>
        <v>833.33333333333337</v>
      </c>
      <c r="T13" s="61">
        <f t="shared" si="16"/>
        <v>833.33333333333337</v>
      </c>
      <c r="U13" s="61">
        <f t="shared" si="16"/>
        <v>833.33333333333337</v>
      </c>
      <c r="V13" s="61">
        <f t="shared" si="16"/>
        <v>833.33333333333337</v>
      </c>
      <c r="W13" s="61">
        <f t="shared" si="16"/>
        <v>833.33333333333337</v>
      </c>
      <c r="X13" s="61">
        <f t="shared" si="16"/>
        <v>833.33333333333337</v>
      </c>
      <c r="Y13" s="61">
        <f t="shared" si="16"/>
        <v>833.33333333333337</v>
      </c>
      <c r="Z13" s="61">
        <f t="shared" si="16"/>
        <v>833.33333333333337</v>
      </c>
      <c r="AA13" s="61">
        <f t="shared" si="16"/>
        <v>833.33333333333337</v>
      </c>
      <c r="AC13" s="22" t="s">
        <v>207</v>
      </c>
      <c r="AD13" s="61">
        <f t="shared" ref="AD13:AO13" si="17">10000/12</f>
        <v>833.33333333333337</v>
      </c>
      <c r="AE13" s="61">
        <f t="shared" si="17"/>
        <v>833.33333333333337</v>
      </c>
      <c r="AF13" s="61">
        <f t="shared" si="17"/>
        <v>833.33333333333337</v>
      </c>
      <c r="AG13" s="61">
        <f t="shared" si="17"/>
        <v>833.33333333333337</v>
      </c>
      <c r="AH13" s="61">
        <f t="shared" si="17"/>
        <v>833.33333333333337</v>
      </c>
      <c r="AI13" s="61">
        <f t="shared" si="17"/>
        <v>833.33333333333337</v>
      </c>
      <c r="AJ13" s="61">
        <f t="shared" si="17"/>
        <v>833.33333333333337</v>
      </c>
      <c r="AK13" s="61">
        <f t="shared" si="17"/>
        <v>833.33333333333337</v>
      </c>
      <c r="AL13" s="61">
        <f t="shared" si="17"/>
        <v>833.33333333333337</v>
      </c>
      <c r="AM13" s="61">
        <f t="shared" si="17"/>
        <v>833.33333333333337</v>
      </c>
      <c r="AN13" s="61">
        <f t="shared" si="17"/>
        <v>833.33333333333337</v>
      </c>
      <c r="AO13" s="61">
        <f t="shared" si="17"/>
        <v>833.33333333333337</v>
      </c>
    </row>
    <row r="14" spans="1:41" ht="14.25" customHeight="1">
      <c r="A14" s="22" t="s">
        <v>208</v>
      </c>
      <c r="B14" s="61">
        <f t="shared" ref="B14:M14" si="18">7000/12</f>
        <v>583.33333333333337</v>
      </c>
      <c r="C14" s="61">
        <f t="shared" si="18"/>
        <v>583.33333333333337</v>
      </c>
      <c r="D14" s="61">
        <f t="shared" si="18"/>
        <v>583.33333333333337</v>
      </c>
      <c r="E14" s="61">
        <f t="shared" si="18"/>
        <v>583.33333333333337</v>
      </c>
      <c r="F14" s="61">
        <f t="shared" si="18"/>
        <v>583.33333333333337</v>
      </c>
      <c r="G14" s="61">
        <f t="shared" si="18"/>
        <v>583.33333333333337</v>
      </c>
      <c r="H14" s="61">
        <f t="shared" si="18"/>
        <v>583.33333333333337</v>
      </c>
      <c r="I14" s="61">
        <f t="shared" si="18"/>
        <v>583.33333333333337</v>
      </c>
      <c r="J14" s="61">
        <f t="shared" si="18"/>
        <v>583.33333333333337</v>
      </c>
      <c r="K14" s="61">
        <f t="shared" si="18"/>
        <v>583.33333333333337</v>
      </c>
      <c r="L14" s="61">
        <f t="shared" si="18"/>
        <v>583.33333333333337</v>
      </c>
      <c r="M14" s="61">
        <f t="shared" si="18"/>
        <v>583.33333333333337</v>
      </c>
      <c r="N14" s="61"/>
      <c r="O14" s="22" t="s">
        <v>208</v>
      </c>
      <c r="P14" s="61">
        <f t="shared" ref="P14:AA14" si="19">7000/12</f>
        <v>583.33333333333337</v>
      </c>
      <c r="Q14" s="61">
        <f t="shared" si="19"/>
        <v>583.33333333333337</v>
      </c>
      <c r="R14" s="61">
        <f t="shared" si="19"/>
        <v>583.33333333333337</v>
      </c>
      <c r="S14" s="61">
        <f t="shared" si="19"/>
        <v>583.33333333333337</v>
      </c>
      <c r="T14" s="61">
        <f t="shared" si="19"/>
        <v>583.33333333333337</v>
      </c>
      <c r="U14" s="61">
        <f t="shared" si="19"/>
        <v>583.33333333333337</v>
      </c>
      <c r="V14" s="61">
        <f t="shared" si="19"/>
        <v>583.33333333333337</v>
      </c>
      <c r="W14" s="61">
        <f t="shared" si="19"/>
        <v>583.33333333333337</v>
      </c>
      <c r="X14" s="61">
        <f t="shared" si="19"/>
        <v>583.33333333333337</v>
      </c>
      <c r="Y14" s="61">
        <f t="shared" si="19"/>
        <v>583.33333333333337</v>
      </c>
      <c r="Z14" s="61">
        <f t="shared" si="19"/>
        <v>583.33333333333337</v>
      </c>
      <c r="AA14" s="61">
        <f t="shared" si="19"/>
        <v>583.33333333333337</v>
      </c>
      <c r="AC14" s="22" t="s">
        <v>208</v>
      </c>
      <c r="AD14" s="61">
        <f t="shared" ref="AD14:AO14" si="20">7000/12</f>
        <v>583.33333333333337</v>
      </c>
      <c r="AE14" s="61">
        <f t="shared" si="20"/>
        <v>583.33333333333337</v>
      </c>
      <c r="AF14" s="61">
        <f t="shared" si="20"/>
        <v>583.33333333333337</v>
      </c>
      <c r="AG14" s="61">
        <f t="shared" si="20"/>
        <v>583.33333333333337</v>
      </c>
      <c r="AH14" s="61">
        <f t="shared" si="20"/>
        <v>583.33333333333337</v>
      </c>
      <c r="AI14" s="61">
        <f t="shared" si="20"/>
        <v>583.33333333333337</v>
      </c>
      <c r="AJ14" s="61">
        <f t="shared" si="20"/>
        <v>583.33333333333337</v>
      </c>
      <c r="AK14" s="61">
        <f t="shared" si="20"/>
        <v>583.33333333333337</v>
      </c>
      <c r="AL14" s="61">
        <f t="shared" si="20"/>
        <v>583.33333333333337</v>
      </c>
      <c r="AM14" s="61">
        <f t="shared" si="20"/>
        <v>583.33333333333337</v>
      </c>
      <c r="AN14" s="61">
        <f t="shared" si="20"/>
        <v>583.33333333333337</v>
      </c>
      <c r="AO14" s="61">
        <f t="shared" si="20"/>
        <v>583.33333333333337</v>
      </c>
    </row>
    <row r="15" spans="1:41" ht="14.25" customHeight="1">
      <c r="A15" s="22" t="s">
        <v>265</v>
      </c>
      <c r="B15" s="61">
        <v>32390</v>
      </c>
      <c r="C15" s="61">
        <v>32390</v>
      </c>
      <c r="D15" s="61">
        <v>32390</v>
      </c>
      <c r="E15" s="61">
        <v>32390</v>
      </c>
      <c r="F15" s="61">
        <v>32390</v>
      </c>
      <c r="G15" s="61">
        <v>32390</v>
      </c>
      <c r="H15" s="61">
        <v>32390</v>
      </c>
      <c r="I15" s="61">
        <v>32390</v>
      </c>
      <c r="J15" s="61">
        <v>32390</v>
      </c>
      <c r="K15" s="61">
        <v>32390</v>
      </c>
      <c r="L15" s="61">
        <v>32390</v>
      </c>
      <c r="M15" s="61">
        <v>32390</v>
      </c>
      <c r="N15" s="61"/>
      <c r="O15" s="22" t="s">
        <v>265</v>
      </c>
      <c r="P15" s="61">
        <v>32390</v>
      </c>
      <c r="Q15" s="61">
        <v>32390</v>
      </c>
      <c r="R15" s="61">
        <v>32390</v>
      </c>
      <c r="S15" s="61">
        <v>32390</v>
      </c>
      <c r="T15" s="61">
        <v>32390</v>
      </c>
      <c r="U15" s="61">
        <v>32390</v>
      </c>
      <c r="V15" s="61">
        <v>32390</v>
      </c>
      <c r="W15" s="61">
        <v>32390</v>
      </c>
      <c r="X15" s="61">
        <v>32390</v>
      </c>
      <c r="Y15" s="61">
        <v>32390</v>
      </c>
      <c r="Z15" s="61">
        <v>32390</v>
      </c>
      <c r="AA15" s="61">
        <v>32390</v>
      </c>
      <c r="AC15" s="22" t="s">
        <v>265</v>
      </c>
      <c r="AD15" s="61">
        <v>32390</v>
      </c>
      <c r="AE15" s="61">
        <v>32390</v>
      </c>
      <c r="AF15" s="61">
        <v>32390</v>
      </c>
      <c r="AG15" s="61">
        <v>32390</v>
      </c>
      <c r="AH15" s="61">
        <v>32390</v>
      </c>
      <c r="AI15" s="61">
        <v>32390</v>
      </c>
      <c r="AJ15" s="61">
        <v>32390</v>
      </c>
      <c r="AK15" s="61">
        <v>32390</v>
      </c>
      <c r="AL15" s="61">
        <v>32390</v>
      </c>
      <c r="AM15" s="61">
        <v>32390</v>
      </c>
      <c r="AN15" s="61">
        <v>32390</v>
      </c>
      <c r="AO15" s="61">
        <v>32390</v>
      </c>
    </row>
    <row r="16" spans="1:41" ht="14.25" customHeight="1">
      <c r="A16" s="22" t="s">
        <v>266</v>
      </c>
      <c r="B16" s="61">
        <v>8000</v>
      </c>
      <c r="C16" s="61">
        <v>100000</v>
      </c>
      <c r="D16" s="61"/>
      <c r="E16" s="61">
        <v>8000</v>
      </c>
      <c r="F16" s="61"/>
      <c r="G16" s="61"/>
      <c r="H16" s="61">
        <v>8000</v>
      </c>
      <c r="I16" s="61"/>
      <c r="J16" s="61"/>
      <c r="K16" s="61"/>
      <c r="L16" s="61">
        <v>8000</v>
      </c>
      <c r="M16" s="61"/>
      <c r="N16" s="61"/>
      <c r="O16" s="22" t="s">
        <v>266</v>
      </c>
      <c r="P16" s="61">
        <v>150000</v>
      </c>
      <c r="Q16" s="61">
        <v>8000</v>
      </c>
      <c r="R16" s="61"/>
      <c r="S16" s="61">
        <v>8000</v>
      </c>
      <c r="T16" s="61"/>
      <c r="U16" s="61"/>
      <c r="V16" s="61">
        <v>8000</v>
      </c>
      <c r="W16" s="61">
        <v>8000</v>
      </c>
      <c r="X16" s="61"/>
      <c r="Y16" s="61"/>
      <c r="Z16" s="61"/>
      <c r="AA16" s="61">
        <v>150000</v>
      </c>
      <c r="AC16" s="22" t="s">
        <v>266</v>
      </c>
      <c r="AD16" s="61"/>
      <c r="AE16" s="61">
        <v>8000</v>
      </c>
      <c r="AF16" s="61"/>
      <c r="AG16" s="61">
        <v>8000</v>
      </c>
      <c r="AH16" s="61"/>
      <c r="AI16" s="61"/>
      <c r="AJ16" s="61">
        <v>8000</v>
      </c>
      <c r="AK16" s="61">
        <v>8000</v>
      </c>
      <c r="AL16" s="61"/>
      <c r="AM16" s="61"/>
      <c r="AN16" s="61"/>
      <c r="AO16" s="61"/>
    </row>
    <row r="17" spans="1:41" ht="14.25" customHeight="1">
      <c r="A17" s="22" t="s">
        <v>209</v>
      </c>
      <c r="B17" s="61">
        <f t="shared" ref="B17:M17" si="21">SUM(B8:B16)</f>
        <v>53347.26666666667</v>
      </c>
      <c r="C17" s="61">
        <f t="shared" si="21"/>
        <v>140371.76666666666</v>
      </c>
      <c r="D17" s="61">
        <f t="shared" si="21"/>
        <v>40371.766666666663</v>
      </c>
      <c r="E17" s="61">
        <f t="shared" si="21"/>
        <v>53442.78</v>
      </c>
      <c r="F17" s="61">
        <f t="shared" si="21"/>
        <v>40442.78</v>
      </c>
      <c r="G17" s="61">
        <f t="shared" si="21"/>
        <v>40442.78</v>
      </c>
      <c r="H17" s="61">
        <f t="shared" si="21"/>
        <v>53503.76666666667</v>
      </c>
      <c r="I17" s="61">
        <f t="shared" si="21"/>
        <v>40503.766666666663</v>
      </c>
      <c r="J17" s="61">
        <f t="shared" si="21"/>
        <v>40503.766666666663</v>
      </c>
      <c r="K17" s="61">
        <f t="shared" si="21"/>
        <v>102503.76666666666</v>
      </c>
      <c r="L17" s="61">
        <f t="shared" si="21"/>
        <v>48503.766666666663</v>
      </c>
      <c r="M17" s="61">
        <f t="shared" si="21"/>
        <v>40503.766666666663</v>
      </c>
      <c r="O17" s="22" t="s">
        <v>209</v>
      </c>
      <c r="P17" s="61">
        <f t="shared" ref="P17:AA17" si="22">SUM(P8:P16)</f>
        <v>199034.98466666666</v>
      </c>
      <c r="Q17" s="61">
        <f t="shared" si="22"/>
        <v>49643.317999999999</v>
      </c>
      <c r="R17" s="61">
        <f t="shared" si="22"/>
        <v>41643.317999999999</v>
      </c>
      <c r="S17" s="61">
        <f t="shared" si="22"/>
        <v>57167.701333333331</v>
      </c>
      <c r="T17" s="61">
        <f t="shared" si="22"/>
        <v>41667.701333333331</v>
      </c>
      <c r="U17" s="61">
        <f t="shared" si="22"/>
        <v>41667.701333333331</v>
      </c>
      <c r="V17" s="61">
        <f t="shared" si="22"/>
        <v>57167.701333333331</v>
      </c>
      <c r="W17" s="61">
        <f t="shared" si="22"/>
        <v>49667.701333333331</v>
      </c>
      <c r="X17" s="61">
        <f t="shared" si="22"/>
        <v>41667.701333333331</v>
      </c>
      <c r="Y17" s="61">
        <f t="shared" si="22"/>
        <v>134667.70133333333</v>
      </c>
      <c r="Z17" s="61">
        <f t="shared" si="22"/>
        <v>41667.701333333331</v>
      </c>
      <c r="AA17" s="61">
        <f t="shared" si="22"/>
        <v>191667.70133333333</v>
      </c>
      <c r="AC17" s="22" t="s">
        <v>209</v>
      </c>
      <c r="AD17" s="61">
        <f t="shared" ref="AD17:AO17" si="23">SUM(AD8:AD16)</f>
        <v>52954.550873333334</v>
      </c>
      <c r="AE17" s="61">
        <f t="shared" si="23"/>
        <v>49704.550873333334</v>
      </c>
      <c r="AF17" s="61">
        <f t="shared" si="23"/>
        <v>41704.550873333334</v>
      </c>
      <c r="AG17" s="61">
        <f t="shared" si="23"/>
        <v>60954.550873333334</v>
      </c>
      <c r="AH17" s="61">
        <f t="shared" si="23"/>
        <v>41704.550873333334</v>
      </c>
      <c r="AI17" s="61">
        <f t="shared" si="23"/>
        <v>41704.550873333334</v>
      </c>
      <c r="AJ17" s="61">
        <f t="shared" si="23"/>
        <v>60954.550873333334</v>
      </c>
      <c r="AK17" s="61">
        <f t="shared" si="23"/>
        <v>49704.550873333334</v>
      </c>
      <c r="AL17" s="61">
        <f t="shared" si="23"/>
        <v>41704.550873333334</v>
      </c>
      <c r="AM17" s="61">
        <f t="shared" si="23"/>
        <v>137954.55087333333</v>
      </c>
      <c r="AN17" s="61">
        <f t="shared" si="23"/>
        <v>41704.550873333334</v>
      </c>
      <c r="AO17" s="61">
        <f t="shared" si="23"/>
        <v>41704.550873333334</v>
      </c>
    </row>
    <row r="18" spans="1:41" ht="14.25" customHeight="1">
      <c r="A18" s="22" t="s">
        <v>267</v>
      </c>
      <c r="B18" s="61">
        <f t="shared" ref="B18:M18" si="24">B6-B17</f>
        <v>-804.51666666667006</v>
      </c>
      <c r="C18" s="61">
        <f t="shared" si="24"/>
        <v>-86604.016666666663</v>
      </c>
      <c r="D18" s="61">
        <f t="shared" si="24"/>
        <v>13395.983333333337</v>
      </c>
      <c r="E18" s="61">
        <f t="shared" si="24"/>
        <v>3875.6366666666654</v>
      </c>
      <c r="F18" s="61">
        <f t="shared" si="24"/>
        <v>16875.636666666665</v>
      </c>
      <c r="G18" s="61">
        <f t="shared" si="24"/>
        <v>16875.636666666665</v>
      </c>
      <c r="H18" s="61">
        <f t="shared" si="24"/>
        <v>6863.9833333333299</v>
      </c>
      <c r="I18" s="61">
        <f t="shared" si="24"/>
        <v>19863.983333333337</v>
      </c>
      <c r="J18" s="61">
        <f t="shared" si="24"/>
        <v>19863.983333333337</v>
      </c>
      <c r="K18" s="61">
        <f t="shared" si="24"/>
        <v>-42136.016666666663</v>
      </c>
      <c r="L18" s="61">
        <f t="shared" si="24"/>
        <v>11863.983333333337</v>
      </c>
      <c r="M18" s="61">
        <f t="shared" si="24"/>
        <v>19863.983333333337</v>
      </c>
      <c r="P18" s="61">
        <f t="shared" ref="P18:AA18" si="25">P6-P17</f>
        <v>-135619.08466666666</v>
      </c>
      <c r="Q18" s="61">
        <f t="shared" si="25"/>
        <v>19189.248666666666</v>
      </c>
      <c r="R18" s="61">
        <f t="shared" si="25"/>
        <v>27189.248666666666</v>
      </c>
      <c r="S18" s="61">
        <f t="shared" si="25"/>
        <v>12884.032000000007</v>
      </c>
      <c r="T18" s="61">
        <f t="shared" si="25"/>
        <v>28384.032000000007</v>
      </c>
      <c r="U18" s="61">
        <f t="shared" si="25"/>
        <v>28384.032000000007</v>
      </c>
      <c r="V18" s="61">
        <f t="shared" si="25"/>
        <v>12884.032000000007</v>
      </c>
      <c r="W18" s="61">
        <f t="shared" si="25"/>
        <v>20384.032000000007</v>
      </c>
      <c r="X18" s="61">
        <f t="shared" si="25"/>
        <v>28384.032000000007</v>
      </c>
      <c r="Y18" s="61">
        <f t="shared" si="25"/>
        <v>-64615.967999999993</v>
      </c>
      <c r="Z18" s="61">
        <f t="shared" si="25"/>
        <v>28384.032000000007</v>
      </c>
      <c r="AA18" s="61">
        <f t="shared" si="25"/>
        <v>-121615.96799999999</v>
      </c>
      <c r="AD18" s="61">
        <f t="shared" ref="AD18:AO18" si="26">AD6-AD17</f>
        <v>18939.659460000003</v>
      </c>
      <c r="AE18" s="61">
        <f t="shared" si="26"/>
        <v>22189.659460000003</v>
      </c>
      <c r="AF18" s="61">
        <f t="shared" si="26"/>
        <v>30189.659460000003</v>
      </c>
      <c r="AG18" s="61">
        <f t="shared" si="26"/>
        <v>10939.659460000003</v>
      </c>
      <c r="AH18" s="61">
        <f t="shared" si="26"/>
        <v>30189.659460000003</v>
      </c>
      <c r="AI18" s="61">
        <f t="shared" si="26"/>
        <v>30189.659460000003</v>
      </c>
      <c r="AJ18" s="61">
        <f t="shared" si="26"/>
        <v>10939.659460000003</v>
      </c>
      <c r="AK18" s="61">
        <f t="shared" si="26"/>
        <v>22189.659460000003</v>
      </c>
      <c r="AL18" s="61">
        <f t="shared" si="26"/>
        <v>30189.659460000003</v>
      </c>
      <c r="AM18" s="61">
        <f t="shared" si="26"/>
        <v>-66060.34053999999</v>
      </c>
      <c r="AN18" s="61">
        <f t="shared" si="26"/>
        <v>30189.659460000003</v>
      </c>
      <c r="AO18" s="61">
        <f t="shared" si="26"/>
        <v>30189.659460000003</v>
      </c>
    </row>
    <row r="19" spans="1:41" ht="14.25" customHeight="1">
      <c r="A19" s="22" t="s">
        <v>268</v>
      </c>
      <c r="B19" s="61">
        <f>B1+B6-B17</f>
        <v>299195.48333333334</v>
      </c>
      <c r="C19" s="61">
        <f t="shared" ref="C19:M19" si="27">B19+C6-C17</f>
        <v>212591.46666666667</v>
      </c>
      <c r="D19" s="61">
        <f t="shared" si="27"/>
        <v>225987.45</v>
      </c>
      <c r="E19" s="61">
        <f t="shared" si="27"/>
        <v>229863.0866666667</v>
      </c>
      <c r="F19" s="61">
        <f t="shared" si="27"/>
        <v>246738.72333333336</v>
      </c>
      <c r="G19" s="61">
        <f t="shared" si="27"/>
        <v>263614.36</v>
      </c>
      <c r="H19" s="61">
        <f t="shared" si="27"/>
        <v>270478.34333333332</v>
      </c>
      <c r="I19" s="61">
        <f t="shared" si="27"/>
        <v>290342.32666666666</v>
      </c>
      <c r="J19" s="61">
        <f t="shared" si="27"/>
        <v>310206.31</v>
      </c>
      <c r="K19" s="61">
        <f t="shared" si="27"/>
        <v>268070.29333333333</v>
      </c>
      <c r="L19" s="61">
        <f t="shared" si="27"/>
        <v>279934.27666666667</v>
      </c>
      <c r="M19" s="61">
        <f t="shared" si="27"/>
        <v>299798.26</v>
      </c>
      <c r="O19" s="22" t="s">
        <v>268</v>
      </c>
      <c r="P19" s="61">
        <f>M19+P6-P17</f>
        <v>164179.17533333338</v>
      </c>
      <c r="Q19" s="61">
        <f t="shared" ref="Q19:AA19" si="28">P19+Q6-Q17</f>
        <v>183368.42400000003</v>
      </c>
      <c r="R19" s="61">
        <f t="shared" si="28"/>
        <v>210557.67266666671</v>
      </c>
      <c r="S19" s="61">
        <f t="shared" si="28"/>
        <v>223441.70466666674</v>
      </c>
      <c r="T19" s="61">
        <f t="shared" si="28"/>
        <v>251825.73666666675</v>
      </c>
      <c r="U19" s="61">
        <f t="shared" si="28"/>
        <v>280209.76866666676</v>
      </c>
      <c r="V19" s="61">
        <f t="shared" si="28"/>
        <v>293093.80066666676</v>
      </c>
      <c r="W19" s="61">
        <f t="shared" si="28"/>
        <v>313477.83266666677</v>
      </c>
      <c r="X19" s="61">
        <f t="shared" si="28"/>
        <v>341861.86466666678</v>
      </c>
      <c r="Y19" s="61">
        <f t="shared" si="28"/>
        <v>277245.89666666678</v>
      </c>
      <c r="Z19" s="61">
        <f t="shared" si="28"/>
        <v>305629.92866666679</v>
      </c>
      <c r="AA19" s="61">
        <f t="shared" si="28"/>
        <v>184013.9606666668</v>
      </c>
      <c r="AC19" s="22" t="s">
        <v>268</v>
      </c>
      <c r="AD19" s="61">
        <f>AA19+AD6-AD17</f>
        <v>202953.62012666682</v>
      </c>
      <c r="AE19" s="61">
        <f t="shared" ref="AE19:AO19" si="29">AD19+AE6-AE17</f>
        <v>225143.27958666682</v>
      </c>
      <c r="AF19" s="61">
        <f t="shared" si="29"/>
        <v>255332.93904666681</v>
      </c>
      <c r="AG19" s="61">
        <f t="shared" si="29"/>
        <v>266272.59850666678</v>
      </c>
      <c r="AH19" s="61">
        <f t="shared" si="29"/>
        <v>296462.25796666677</v>
      </c>
      <c r="AI19" s="61">
        <f t="shared" si="29"/>
        <v>326651.91742666677</v>
      </c>
      <c r="AJ19" s="61">
        <f t="shared" si="29"/>
        <v>337591.57688666676</v>
      </c>
      <c r="AK19" s="61">
        <f t="shared" si="29"/>
        <v>359781.23634666676</v>
      </c>
      <c r="AL19" s="61">
        <f t="shared" si="29"/>
        <v>389970.89580666675</v>
      </c>
      <c r="AM19" s="61">
        <f t="shared" si="29"/>
        <v>323910.55526666681</v>
      </c>
      <c r="AN19" s="61">
        <f t="shared" si="29"/>
        <v>354100.2147266668</v>
      </c>
      <c r="AO19" s="61">
        <f t="shared" si="29"/>
        <v>384289.8741866668</v>
      </c>
    </row>
    <row r="20" spans="1:41" ht="14.25" customHeight="1"/>
    <row r="21" spans="1:41" ht="14.25" customHeight="1">
      <c r="A21" s="22" t="s">
        <v>269</v>
      </c>
      <c r="O21" s="22" t="s">
        <v>269</v>
      </c>
      <c r="AC21" s="22" t="s">
        <v>269</v>
      </c>
    </row>
    <row r="22" spans="1:41" ht="14.25" customHeight="1">
      <c r="A22" s="61">
        <f>0.2*4500000+B1</f>
        <v>1200000</v>
      </c>
      <c r="O22" s="61"/>
      <c r="AC22" s="61"/>
    </row>
    <row r="23" spans="1:41" ht="14.25" customHeight="1">
      <c r="A23" s="6" t="s">
        <v>270</v>
      </c>
      <c r="B23" s="61"/>
      <c r="C23" s="61"/>
      <c r="D23" s="61">
        <f>$A22*0.08*0.25</f>
        <v>24000</v>
      </c>
      <c r="E23" s="61"/>
      <c r="F23" s="61"/>
      <c r="G23" s="61">
        <f>$A22*0.08*0.25</f>
        <v>24000</v>
      </c>
      <c r="H23" s="61"/>
      <c r="I23" s="61"/>
      <c r="J23" s="61">
        <f>$A22*0.08*0.25</f>
        <v>24000</v>
      </c>
      <c r="K23" s="61"/>
      <c r="L23" s="61"/>
      <c r="M23" s="61">
        <f>$A22*0.08*0.25</f>
        <v>24000</v>
      </c>
      <c r="O23" s="6" t="s">
        <v>270</v>
      </c>
      <c r="P23" s="61"/>
      <c r="Q23" s="61"/>
      <c r="R23" s="61">
        <f>$A22*0.08*0.25</f>
        <v>24000</v>
      </c>
      <c r="S23" s="61"/>
      <c r="T23" s="61"/>
      <c r="U23" s="61">
        <f>$A22*0.08*0.25</f>
        <v>24000</v>
      </c>
      <c r="V23" s="61"/>
      <c r="W23" s="61"/>
      <c r="X23" s="61">
        <f>$A22*0.08*0.25</f>
        <v>24000</v>
      </c>
      <c r="Y23" s="61"/>
      <c r="Z23" s="61"/>
      <c r="AA23" s="61">
        <f>$A22*0.08*0.25</f>
        <v>24000</v>
      </c>
      <c r="AC23" s="6" t="s">
        <v>270</v>
      </c>
      <c r="AD23" s="61"/>
      <c r="AE23" s="61"/>
      <c r="AF23" s="61">
        <f>$A22*0.08*0.25</f>
        <v>24000</v>
      </c>
      <c r="AG23" s="61"/>
      <c r="AH23" s="61"/>
      <c r="AI23" s="61">
        <f>$A22*0.08*0.25</f>
        <v>24000</v>
      </c>
      <c r="AJ23" s="61"/>
      <c r="AK23" s="61"/>
      <c r="AL23" s="61">
        <f>$A22*0.08*0.25</f>
        <v>24000</v>
      </c>
      <c r="AM23" s="61"/>
      <c r="AN23" s="61"/>
      <c r="AO23" s="61">
        <f>$A22*0.08*0.25</f>
        <v>24000</v>
      </c>
    </row>
    <row r="24" spans="1:41" ht="14.25" customHeight="1"/>
    <row r="25" spans="1:41" ht="14.25" customHeight="1">
      <c r="A25" s="6" t="s">
        <v>268</v>
      </c>
      <c r="B25" s="61">
        <f t="shared" ref="B25:M25" si="30">B19-B23</f>
        <v>299195.48333333334</v>
      </c>
      <c r="C25" s="61">
        <f t="shared" si="30"/>
        <v>212591.46666666667</v>
      </c>
      <c r="D25" s="61">
        <f t="shared" si="30"/>
        <v>201987.45</v>
      </c>
      <c r="E25" s="61">
        <f t="shared" si="30"/>
        <v>229863.0866666667</v>
      </c>
      <c r="F25" s="61">
        <f t="shared" si="30"/>
        <v>246738.72333333336</v>
      </c>
      <c r="G25" s="61">
        <f t="shared" si="30"/>
        <v>239614.36</v>
      </c>
      <c r="H25" s="61">
        <f t="shared" si="30"/>
        <v>270478.34333333332</v>
      </c>
      <c r="I25" s="61">
        <f t="shared" si="30"/>
        <v>290342.32666666666</v>
      </c>
      <c r="J25" s="61">
        <f t="shared" si="30"/>
        <v>286206.31</v>
      </c>
      <c r="K25" s="61">
        <f t="shared" si="30"/>
        <v>268070.29333333333</v>
      </c>
      <c r="L25" s="61">
        <f t="shared" si="30"/>
        <v>279934.27666666667</v>
      </c>
      <c r="M25" s="61">
        <f t="shared" si="30"/>
        <v>275798.26</v>
      </c>
      <c r="O25" s="6" t="s">
        <v>268</v>
      </c>
      <c r="P25" s="61">
        <f>M25+P6-P17-P23</f>
        <v>140179.17533333338</v>
      </c>
      <c r="Q25" s="61">
        <f t="shared" ref="Q25:AA25" si="31">P25+Q6-Q17-Q23</f>
        <v>159368.42400000003</v>
      </c>
      <c r="R25" s="61">
        <f t="shared" si="31"/>
        <v>162557.67266666671</v>
      </c>
      <c r="S25" s="61">
        <f t="shared" si="31"/>
        <v>175441.70466666672</v>
      </c>
      <c r="T25" s="61">
        <f t="shared" si="31"/>
        <v>203825.73666666672</v>
      </c>
      <c r="U25" s="61">
        <f t="shared" si="31"/>
        <v>208209.76866666676</v>
      </c>
      <c r="V25" s="61">
        <f t="shared" si="31"/>
        <v>221093.80066666676</v>
      </c>
      <c r="W25" s="61">
        <f t="shared" si="31"/>
        <v>241477.83266666677</v>
      </c>
      <c r="X25" s="61">
        <f t="shared" si="31"/>
        <v>245861.86466666678</v>
      </c>
      <c r="Y25" s="61">
        <f t="shared" si="31"/>
        <v>181245.89666666678</v>
      </c>
      <c r="Z25" s="61">
        <f t="shared" si="31"/>
        <v>209629.92866666679</v>
      </c>
      <c r="AA25" s="61">
        <f t="shared" si="31"/>
        <v>64013.960666666797</v>
      </c>
      <c r="AC25" s="6" t="s">
        <v>268</v>
      </c>
      <c r="AD25" s="61">
        <f>AA25+AD18-AD23</f>
        <v>82953.620126666792</v>
      </c>
      <c r="AE25" s="61">
        <f t="shared" ref="AE25:AO25" si="32">AD25+AE18-AE23</f>
        <v>105143.27958666679</v>
      </c>
      <c r="AF25" s="61">
        <f t="shared" si="32"/>
        <v>111332.93904666678</v>
      </c>
      <c r="AG25" s="61">
        <f t="shared" si="32"/>
        <v>122272.59850666678</v>
      </c>
      <c r="AH25" s="61">
        <f t="shared" si="32"/>
        <v>152462.25796666677</v>
      </c>
      <c r="AI25" s="61">
        <f t="shared" si="32"/>
        <v>158651.91742666677</v>
      </c>
      <c r="AJ25" s="61">
        <f t="shared" si="32"/>
        <v>169591.57688666676</v>
      </c>
      <c r="AK25" s="61">
        <f t="shared" si="32"/>
        <v>191781.23634666676</v>
      </c>
      <c r="AL25" s="61">
        <f t="shared" si="32"/>
        <v>197970.89580666675</v>
      </c>
      <c r="AM25" s="61">
        <f t="shared" si="32"/>
        <v>131910.55526666675</v>
      </c>
      <c r="AN25" s="61">
        <f t="shared" si="32"/>
        <v>162100.21472666675</v>
      </c>
      <c r="AO25" s="61">
        <f t="shared" si="32"/>
        <v>168289.87418666674</v>
      </c>
    </row>
    <row r="26" spans="1:41" ht="14.25" customHeight="1"/>
    <row r="27" spans="1:41" ht="14.25" customHeight="1"/>
    <row r="28" spans="1:41" ht="14.25" customHeight="1"/>
    <row r="29" spans="1:41" ht="14.25" customHeight="1"/>
    <row r="30" spans="1:41" ht="14.25" customHeight="1">
      <c r="A30" s="6" t="s">
        <v>271</v>
      </c>
    </row>
    <row r="31" spans="1:41" ht="14.25" customHeight="1">
      <c r="A31" s="6" t="s">
        <v>272</v>
      </c>
    </row>
    <row r="32" spans="1:41" ht="14.25" customHeight="1">
      <c r="A32" s="6" t="s">
        <v>273</v>
      </c>
    </row>
    <row r="33" spans="1:6" ht="14.25" customHeight="1"/>
    <row r="34" spans="1:6" ht="14.25" customHeight="1">
      <c r="A34" s="6" t="s">
        <v>274</v>
      </c>
      <c r="B34" s="61">
        <v>8000000</v>
      </c>
    </row>
    <row r="35" spans="1:6" ht="14.25" customHeight="1">
      <c r="A35" s="6" t="s">
        <v>265</v>
      </c>
      <c r="B35" s="61">
        <v>3193450</v>
      </c>
    </row>
    <row r="36" spans="1:6" ht="14.25" customHeight="1">
      <c r="A36" s="6" t="s">
        <v>275</v>
      </c>
      <c r="B36" s="61">
        <f>B34-B35</f>
        <v>4806550</v>
      </c>
    </row>
    <row r="37" spans="1:6" ht="14.25" customHeight="1">
      <c r="A37" s="6" t="s">
        <v>276</v>
      </c>
      <c r="B37" s="61">
        <f>B36*0.35</f>
        <v>1682292.5</v>
      </c>
    </row>
    <row r="38" spans="1:6" ht="14.25" customHeight="1">
      <c r="A38" s="6" t="s">
        <v>277</v>
      </c>
      <c r="B38" s="61">
        <f>B36*0.65</f>
        <v>3124257.5</v>
      </c>
    </row>
    <row r="39" spans="1:6" ht="14.25" customHeight="1">
      <c r="A39" s="6" t="s">
        <v>278</v>
      </c>
    </row>
    <row r="40" spans="1:6" ht="14.25" customHeight="1"/>
    <row r="41" spans="1:6" ht="14.25" customHeight="1">
      <c r="B41" s="6">
        <v>2024</v>
      </c>
      <c r="C41" s="6">
        <v>2025</v>
      </c>
      <c r="D41" s="6">
        <v>2026</v>
      </c>
      <c r="E41" s="6">
        <v>2027</v>
      </c>
      <c r="F41" s="6">
        <v>2028</v>
      </c>
    </row>
    <row r="42" spans="1:6" ht="14.25" customHeight="1">
      <c r="B42" s="61">
        <v>-1300000</v>
      </c>
      <c r="C42" s="61">
        <f t="shared" ref="C42:E42" si="33">26000*4</f>
        <v>104000</v>
      </c>
      <c r="D42" s="61">
        <f t="shared" si="33"/>
        <v>104000</v>
      </c>
      <c r="E42" s="61">
        <f t="shared" si="33"/>
        <v>104000</v>
      </c>
      <c r="F42" s="61">
        <f>B38</f>
        <v>3124257.5</v>
      </c>
    </row>
    <row r="43" spans="1:6" ht="14.25" customHeight="1"/>
    <row r="44" spans="1:6" ht="14.25" customHeight="1">
      <c r="A44" s="6" t="s">
        <v>278</v>
      </c>
      <c r="B44" s="112">
        <f>IRR(B41:F42)</f>
        <v>0.30185038688479993</v>
      </c>
    </row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Recent Leases signed</vt:lpstr>
      <vt:lpstr>Vacant Units</vt:lpstr>
      <vt:lpstr>Rent Roll 11-23</vt:lpstr>
      <vt:lpstr>Proforma</vt:lpstr>
      <vt:lpstr>Copy of Proforma</vt:lpstr>
      <vt:lpstr>Expenses</vt:lpstr>
      <vt:lpstr>Charge Backs</vt:lpstr>
      <vt:lpstr>Sheet1</vt:lpstr>
      <vt:lpstr>Cashflow Plan</vt:lpstr>
      <vt:lpstr>Cashflow Very Conservative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Clark</dc:creator>
  <cp:lastModifiedBy>ash patel</cp:lastModifiedBy>
  <dcterms:created xsi:type="dcterms:W3CDTF">2023-11-09T18:46:16Z</dcterms:created>
  <dcterms:modified xsi:type="dcterms:W3CDTF">2024-01-22T23:47:53Z</dcterms:modified>
</cp:coreProperties>
</file>